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Жорик\Desktop\Мои документы\Сметы на 2023\2025\"/>
    </mc:Choice>
  </mc:AlternateContent>
  <xr:revisionPtr revIDLastSave="0" documentId="8_{57E0DF7C-6BA5-4599-B42F-D0305568E733}" xr6:coauthVersionLast="47" xr6:coauthVersionMax="47" xr10:uidLastSave="{00000000-0000-0000-0000-000000000000}"/>
  <bookViews>
    <workbookView xWindow="-108" yWindow="-108" windowWidth="23256" windowHeight="13896" tabRatio="928" activeTab="8" xr2:uid="{00000000-000D-0000-FFFF-FFFF00000000}"/>
  </bookViews>
  <sheets>
    <sheet name="Титул" sheetId="3" r:id="rId1"/>
    <sheet name="Поступления и выплаты" sheetId="1" r:id="rId2"/>
    <sheet name="Сведения по выплатам на закупки" sheetId="2" r:id="rId3"/>
    <sheet name="Расчет расходов на песонал2" sheetId="5" state="hidden" r:id="rId4"/>
    <sheet name="Расчет расходов на песонал3" sheetId="6" state="hidden" r:id="rId5"/>
    <sheet name="6100125810 111" sheetId="45" r:id="rId6"/>
    <sheet name="6100125810 119" sheetId="47" r:id="rId7"/>
    <sheet name="6100125820 244 226" sheetId="48" r:id="rId8"/>
    <sheet name="6030625410 111" sheetId="46" r:id="rId9"/>
    <sheet name="6030625410 119" sheetId="7" r:id="rId10"/>
    <sheet name="6030625420 247 223" sheetId="44" r:id="rId11"/>
    <sheet name="6030625420 244 221" sheetId="52" r:id="rId12"/>
    <sheet name="6030625420 244 223" sheetId="53" r:id="rId13"/>
    <sheet name="6030625420 244 225" sheetId="16" r:id="rId14"/>
    <sheet name="6030625420 244 226" sheetId="49" r:id="rId15"/>
    <sheet name="6030625420 620 340" sheetId="20" r:id="rId16"/>
    <sheet name="6030625450 244 225" sheetId="26" r:id="rId17"/>
    <sheet name="6030625450 244 226" sheetId="50" r:id="rId18"/>
    <sheet name="6030625450 244 340" sheetId="51" r:id="rId19"/>
    <sheet name="6030625450 244 227" sheetId="11" r:id="rId20"/>
    <sheet name=" 6030625450 621 852" sheetId="9" state="hidden" r:id="rId21"/>
    <sheet name="6030725610 244 226" sheetId="42" state="hidden" r:id="rId22"/>
    <sheet name="60307W5610 244 226" sheetId="43" state="hidden" r:id="rId23"/>
    <sheet name="Расчет транспотных услуг" sheetId="13" state="hidden" r:id="rId24"/>
    <sheet name="Расчет прочих расходов товаров" sheetId="18" state="hidden" r:id="rId25"/>
  </sheets>
  <definedNames>
    <definedName name="_ftn1" localSheetId="1">'Поступления и выплаты'!$L$7</definedName>
    <definedName name="_ftn10" localSheetId="1">'Поступления и выплаты'!$L$23</definedName>
    <definedName name="_ftn11" localSheetId="1">'Поступления и выплаты'!$L$24</definedName>
    <definedName name="_ftn2" localSheetId="1">'Поступления и выплаты'!$L$13</definedName>
    <definedName name="_ftn3" localSheetId="1">'Поступления и выплаты'!$L$14</definedName>
    <definedName name="_ftn4" localSheetId="1">'Поступления и выплаты'!$L$15</definedName>
    <definedName name="_ftn5" localSheetId="1">'Поступления и выплаты'!$L$18</definedName>
    <definedName name="_ftn6" localSheetId="1">'Поступления и выплаты'!$L$19</definedName>
    <definedName name="_ftn7" localSheetId="1">'Поступления и выплаты'!$L$20</definedName>
    <definedName name="_ftn8" localSheetId="1">'Поступления и выплаты'!$L$21</definedName>
    <definedName name="_ftn9" localSheetId="1">'Поступления и выплаты'!$L$22</definedName>
    <definedName name="_ftnref1" localSheetId="1">'Поступления и выплаты'!$C$3</definedName>
    <definedName name="_ftnref10" localSheetId="1">'Поступления и выплаты'!$A$118</definedName>
    <definedName name="_ftnref11" localSheetId="1">'Поступления и выплаты'!$A$119</definedName>
    <definedName name="_ftnref2" localSheetId="1">'Поступления и выплаты'!$E$3</definedName>
    <definedName name="_ftnref3" localSheetId="1">'Поступления и выплаты'!$A$7</definedName>
    <definedName name="_ftnref4" localSheetId="1">'Поступления и выплаты'!$A$8</definedName>
    <definedName name="_ftnref5" localSheetId="1">'Поступления и выплаты'!$A$58</definedName>
    <definedName name="_ftnref6" localSheetId="1">'Поступления и выплаты'!$A$97</definedName>
    <definedName name="_ftnref7" localSheetId="1">'Поступления и выплаты'!$A$114</definedName>
    <definedName name="_ftnref8" localSheetId="1">'Поступления и выплаты'!$A$116</definedName>
    <definedName name="_ftnref9" localSheetId="1">'Поступления и выплаты'!$A$117</definedName>
    <definedName name="_xlnm.Print_Area" localSheetId="18">'6030625450 244 340'!$A$1:$F$34</definedName>
    <definedName name="_xlnm.Print_Area" localSheetId="1">'Поступления и выплаты'!$A$1:$J$129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1" l="1"/>
  <c r="E16" i="11"/>
  <c r="D24" i="51"/>
  <c r="E33" i="51"/>
  <c r="M32" i="51"/>
  <c r="K32" i="51"/>
  <c r="E32" i="51"/>
  <c r="L31" i="51"/>
  <c r="N31" i="51" s="1"/>
  <c r="F31" i="51" s="1"/>
  <c r="E31" i="51" s="1"/>
  <c r="D31" i="51"/>
  <c r="L30" i="51"/>
  <c r="N30" i="51" s="1"/>
  <c r="F30" i="51" s="1"/>
  <c r="E30" i="51" s="1"/>
  <c r="L29" i="51"/>
  <c r="N29" i="51" s="1"/>
  <c r="F29" i="51" s="1"/>
  <c r="E29" i="51" s="1"/>
  <c r="L28" i="51"/>
  <c r="D28" i="51" s="1"/>
  <c r="L27" i="51"/>
  <c r="L26" i="51"/>
  <c r="N26" i="51" s="1"/>
  <c r="D26" i="51"/>
  <c r="E23" i="51"/>
  <c r="M22" i="51"/>
  <c r="K22" i="51"/>
  <c r="E22" i="51"/>
  <c r="L21" i="51"/>
  <c r="D21" i="51" s="1"/>
  <c r="L20" i="51"/>
  <c r="N20" i="51" s="1"/>
  <c r="F20" i="51" s="1"/>
  <c r="E20" i="51" s="1"/>
  <c r="L19" i="51"/>
  <c r="N19" i="51" s="1"/>
  <c r="F19" i="51" s="1"/>
  <c r="E19" i="51" s="1"/>
  <c r="L18" i="51"/>
  <c r="D18" i="51" s="1"/>
  <c r="L17" i="51"/>
  <c r="N17" i="51" s="1"/>
  <c r="F17" i="51" s="1"/>
  <c r="E17" i="51" s="1"/>
  <c r="L16" i="51"/>
  <c r="N16" i="51" s="1"/>
  <c r="F21" i="50"/>
  <c r="F20" i="50"/>
  <c r="P17" i="50"/>
  <c r="P21" i="50" s="1"/>
  <c r="O17" i="50"/>
  <c r="O21" i="50" s="1"/>
  <c r="N17" i="50"/>
  <c r="N21" i="50" s="1"/>
  <c r="F17" i="50"/>
  <c r="F16" i="50"/>
  <c r="D23" i="26"/>
  <c r="F23" i="26" s="1"/>
  <c r="F22" i="26"/>
  <c r="F21" i="26"/>
  <c r="D18" i="26"/>
  <c r="F18" i="26" s="1"/>
  <c r="F17" i="26"/>
  <c r="F16" i="26"/>
  <c r="D29" i="51" l="1"/>
  <c r="L32" i="51"/>
  <c r="D27" i="51"/>
  <c r="D30" i="51"/>
  <c r="F26" i="51"/>
  <c r="N28" i="51"/>
  <c r="F28" i="51" s="1"/>
  <c r="E28" i="51" s="1"/>
  <c r="N27" i="51"/>
  <c r="F27" i="51" s="1"/>
  <c r="E27" i="51" s="1"/>
  <c r="D16" i="51"/>
  <c r="D20" i="51"/>
  <c r="D19" i="51"/>
  <c r="F16" i="51"/>
  <c r="N18" i="51"/>
  <c r="F18" i="51" s="1"/>
  <c r="E18" i="51" s="1"/>
  <c r="N21" i="51"/>
  <c r="F21" i="51" s="1"/>
  <c r="E21" i="51" s="1"/>
  <c r="D17" i="51"/>
  <c r="L22" i="51"/>
  <c r="F25" i="51" l="1"/>
  <c r="E16" i="51"/>
  <c r="E24" i="51" s="1"/>
  <c r="F24" i="51"/>
  <c r="F15" i="51" s="1"/>
  <c r="N32" i="51"/>
  <c r="E26" i="51"/>
  <c r="N22" i="51"/>
  <c r="F34" i="51" l="1"/>
  <c r="E33" i="20" l="1"/>
  <c r="E32" i="20"/>
  <c r="E31" i="20"/>
  <c r="E30" i="20"/>
  <c r="E29" i="20"/>
  <c r="E28" i="20"/>
  <c r="E27" i="20"/>
  <c r="E26" i="20"/>
  <c r="E23" i="20"/>
  <c r="E22" i="20"/>
  <c r="E21" i="20"/>
  <c r="E20" i="20"/>
  <c r="E19" i="20"/>
  <c r="E18" i="20"/>
  <c r="E17" i="20"/>
  <c r="E16" i="20"/>
  <c r="E37" i="49"/>
  <c r="E36" i="49"/>
  <c r="E35" i="49"/>
  <c r="E34" i="49"/>
  <c r="E33" i="49"/>
  <c r="E32" i="49"/>
  <c r="E31" i="49"/>
  <c r="E30" i="49"/>
  <c r="E29" i="49"/>
  <c r="E28" i="49"/>
  <c r="E25" i="49"/>
  <c r="E24" i="49"/>
  <c r="E23" i="49"/>
  <c r="E22" i="49"/>
  <c r="E21" i="49"/>
  <c r="E20" i="49"/>
  <c r="E19" i="49"/>
  <c r="E18" i="49"/>
  <c r="E17" i="49"/>
  <c r="E16" i="49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F19" i="53"/>
  <c r="F18" i="53"/>
  <c r="F15" i="53" s="1"/>
  <c r="E18" i="53"/>
  <c r="D18" i="53"/>
  <c r="F19" i="52"/>
  <c r="F20" i="52"/>
  <c r="F15" i="52"/>
  <c r="E23" i="52"/>
  <c r="E22" i="52"/>
  <c r="E21" i="52"/>
  <c r="E18" i="52"/>
  <c r="E17" i="52"/>
  <c r="E16" i="52"/>
  <c r="E19" i="52" s="1"/>
  <c r="F24" i="52"/>
  <c r="D32" i="44"/>
  <c r="D31" i="44"/>
  <c r="D30" i="44"/>
  <c r="D29" i="44"/>
  <c r="D28" i="44"/>
  <c r="D27" i="44"/>
  <c r="D26" i="44"/>
  <c r="D22" i="44"/>
  <c r="D21" i="44"/>
  <c r="D20" i="44"/>
  <c r="D19" i="44"/>
  <c r="D18" i="44"/>
  <c r="D17" i="44"/>
  <c r="D16" i="44"/>
  <c r="F90" i="46"/>
  <c r="E85" i="46"/>
  <c r="D85" i="46"/>
  <c r="C85" i="46"/>
  <c r="B85" i="46"/>
  <c r="G84" i="46"/>
  <c r="H84" i="46" s="1"/>
  <c r="G83" i="46"/>
  <c r="H83" i="46" s="1"/>
  <c r="G82" i="46"/>
  <c r="H82" i="46" s="1"/>
  <c r="G81" i="46"/>
  <c r="H81" i="46" s="1"/>
  <c r="F80" i="46"/>
  <c r="G80" i="46" s="1"/>
  <c r="E74" i="46"/>
  <c r="D74" i="46"/>
  <c r="C74" i="46"/>
  <c r="B74" i="46"/>
  <c r="F73" i="46"/>
  <c r="G73" i="46" s="1"/>
  <c r="H73" i="46" s="1"/>
  <c r="F72" i="46"/>
  <c r="G72" i="46" s="1"/>
  <c r="H72" i="46" s="1"/>
  <c r="F71" i="46"/>
  <c r="G71" i="46" s="1"/>
  <c r="H71" i="46" s="1"/>
  <c r="F70" i="46"/>
  <c r="G70" i="46" s="1"/>
  <c r="H70" i="46" s="1"/>
  <c r="F69" i="46"/>
  <c r="G69" i="46" s="1"/>
  <c r="H69" i="46" s="1"/>
  <c r="F68" i="46"/>
  <c r="G68" i="46" s="1"/>
  <c r="H68" i="46" s="1"/>
  <c r="F67" i="46"/>
  <c r="G67" i="46" s="1"/>
  <c r="H67" i="46" s="1"/>
  <c r="F66" i="46"/>
  <c r="G66" i="46" s="1"/>
  <c r="H66" i="46" s="1"/>
  <c r="F65" i="46"/>
  <c r="G65" i="46" s="1"/>
  <c r="H65" i="46" s="1"/>
  <c r="F64" i="46"/>
  <c r="G64" i="46" s="1"/>
  <c r="H64" i="46" s="1"/>
  <c r="F63" i="46"/>
  <c r="G63" i="46" s="1"/>
  <c r="H63" i="46" s="1"/>
  <c r="F62" i="46"/>
  <c r="G62" i="46" s="1"/>
  <c r="E57" i="46"/>
  <c r="C57" i="46"/>
  <c r="B57" i="46"/>
  <c r="F56" i="46"/>
  <c r="G56" i="46" s="1"/>
  <c r="H56" i="46" s="1"/>
  <c r="E50" i="46"/>
  <c r="C50" i="46"/>
  <c r="B50" i="46"/>
  <c r="F49" i="46"/>
  <c r="G49" i="46" s="1"/>
  <c r="H49" i="46" s="1"/>
  <c r="F48" i="46"/>
  <c r="G48" i="46" s="1"/>
  <c r="H48" i="46" s="1"/>
  <c r="F47" i="46"/>
  <c r="G47" i="46" s="1"/>
  <c r="H47" i="46" s="1"/>
  <c r="F46" i="46"/>
  <c r="G46" i="46" s="1"/>
  <c r="H46" i="46" s="1"/>
  <c r="D45" i="46"/>
  <c r="D44" i="46"/>
  <c r="D43" i="46"/>
  <c r="D42" i="46"/>
  <c r="E37" i="46"/>
  <c r="C37" i="46"/>
  <c r="B37" i="46"/>
  <c r="F36" i="46"/>
  <c r="G36" i="46" s="1"/>
  <c r="H36" i="46" s="1"/>
  <c r="F35" i="46"/>
  <c r="G35" i="46" s="1"/>
  <c r="H35" i="46" s="1"/>
  <c r="F34" i="46"/>
  <c r="G34" i="46" s="1"/>
  <c r="H34" i="46" s="1"/>
  <c r="F33" i="46"/>
  <c r="G33" i="46" s="1"/>
  <c r="H33" i="46" s="1"/>
  <c r="F32" i="46"/>
  <c r="G32" i="46" s="1"/>
  <c r="H32" i="46" s="1"/>
  <c r="F31" i="46"/>
  <c r="G31" i="46" s="1"/>
  <c r="H31" i="46" s="1"/>
  <c r="F30" i="46"/>
  <c r="G30" i="46" s="1"/>
  <c r="H30" i="46" s="1"/>
  <c r="F29" i="46"/>
  <c r="G29" i="46" s="1"/>
  <c r="H29" i="46" s="1"/>
  <c r="F28" i="46"/>
  <c r="G28" i="46" s="1"/>
  <c r="H28" i="46" s="1"/>
  <c r="F27" i="46"/>
  <c r="G27" i="46" s="1"/>
  <c r="H27" i="46" s="1"/>
  <c r="F26" i="46"/>
  <c r="G26" i="46" s="1"/>
  <c r="H26" i="46" s="1"/>
  <c r="F25" i="46"/>
  <c r="G25" i="46" s="1"/>
  <c r="H25" i="46" s="1"/>
  <c r="D24" i="46"/>
  <c r="D37" i="46" s="1"/>
  <c r="F23" i="46"/>
  <c r="G23" i="46" s="1"/>
  <c r="H23" i="46" s="1"/>
  <c r="F22" i="46"/>
  <c r="G22" i="46" s="1"/>
  <c r="H22" i="46" s="1"/>
  <c r="F21" i="46"/>
  <c r="G21" i="46" s="1"/>
  <c r="H21" i="46" s="1"/>
  <c r="F20" i="46"/>
  <c r="G20" i="46" s="1"/>
  <c r="H20" i="46" s="1"/>
  <c r="F19" i="46"/>
  <c r="G19" i="46" s="1"/>
  <c r="H19" i="46" s="1"/>
  <c r="F18" i="46"/>
  <c r="G18" i="46" s="1"/>
  <c r="H18" i="46" s="1"/>
  <c r="F17" i="46"/>
  <c r="G17" i="46" s="1"/>
  <c r="H17" i="46" s="1"/>
  <c r="F16" i="46"/>
  <c r="G16" i="46" s="1"/>
  <c r="H16" i="46" s="1"/>
  <c r="F15" i="46"/>
  <c r="F22" i="53" l="1"/>
  <c r="D19" i="52"/>
  <c r="F85" i="46"/>
  <c r="F43" i="46"/>
  <c r="G43" i="46" s="1"/>
  <c r="H43" i="46" s="1"/>
  <c r="H80" i="46"/>
  <c r="H85" i="46" s="1"/>
  <c r="F97" i="46" s="1"/>
  <c r="G85" i="46"/>
  <c r="G74" i="46"/>
  <c r="H62" i="46"/>
  <c r="H74" i="46" s="1"/>
  <c r="F96" i="46" s="1"/>
  <c r="D50" i="46"/>
  <c r="G15" i="46"/>
  <c r="F42" i="46"/>
  <c r="F24" i="46"/>
  <c r="F37" i="46" s="1"/>
  <c r="F74" i="46"/>
  <c r="F44" i="46"/>
  <c r="G44" i="46" s="1"/>
  <c r="H44" i="46" s="1"/>
  <c r="D55" i="46"/>
  <c r="F45" i="46"/>
  <c r="G45" i="46" s="1"/>
  <c r="H45" i="46" s="1"/>
  <c r="H15" i="46" l="1"/>
  <c r="D57" i="46"/>
  <c r="F55" i="46"/>
  <c r="F57" i="46" s="1"/>
  <c r="G55" i="46"/>
  <c r="F50" i="46"/>
  <c r="G24" i="46"/>
  <c r="H24" i="46" s="1"/>
  <c r="G42" i="46"/>
  <c r="H42" i="46" l="1"/>
  <c r="H50" i="46" s="1"/>
  <c r="F94" i="46" s="1"/>
  <c r="G50" i="46"/>
  <c r="H55" i="46"/>
  <c r="H57" i="46" s="1"/>
  <c r="F95" i="46" s="1"/>
  <c r="G57" i="46"/>
  <c r="G37" i="46"/>
  <c r="H37" i="46" s="1"/>
  <c r="F93" i="46" s="1"/>
  <c r="F92" i="46" s="1"/>
  <c r="F98" i="46" s="1"/>
  <c r="F28" i="45" l="1"/>
  <c r="E22" i="45"/>
  <c r="D22" i="45"/>
  <c r="C22" i="45"/>
  <c r="B22" i="45"/>
  <c r="F21" i="45"/>
  <c r="G21" i="45" s="1"/>
  <c r="E16" i="45"/>
  <c r="D16" i="45"/>
  <c r="C16" i="45"/>
  <c r="B16" i="45"/>
  <c r="F15" i="45"/>
  <c r="G15" i="45" s="1"/>
  <c r="G16" i="45" s="1"/>
  <c r="F16" i="45" l="1"/>
  <c r="G22" i="45"/>
  <c r="H21" i="45"/>
  <c r="H22" i="45" s="1"/>
  <c r="F32" i="45" s="1"/>
  <c r="F22" i="45"/>
  <c r="H15" i="45"/>
  <c r="H16" i="45" s="1"/>
  <c r="F31" i="45" s="1"/>
  <c r="F30" i="45" s="1"/>
  <c r="F34" i="45" s="1"/>
  <c r="F19" i="50" l="1"/>
  <c r="E18" i="50"/>
  <c r="D18" i="50"/>
  <c r="D17" i="11"/>
  <c r="C17" i="11"/>
  <c r="E17" i="11"/>
  <c r="F18" i="50" l="1"/>
  <c r="F15" i="50" s="1"/>
  <c r="F22" i="50" s="1"/>
  <c r="E16" i="48" l="1"/>
  <c r="E18" i="7" l="1"/>
  <c r="D16" i="47" l="1"/>
  <c r="D16" i="7"/>
  <c r="E48" i="2" l="1"/>
  <c r="F15" i="1"/>
  <c r="I15" i="1" s="1"/>
  <c r="J15" i="1" s="1"/>
  <c r="I10" i="1"/>
  <c r="I107" i="1"/>
  <c r="I106" i="1"/>
  <c r="I105" i="1"/>
  <c r="I104" i="1"/>
  <c r="I103" i="1"/>
  <c r="I102" i="1"/>
  <c r="I101" i="1"/>
  <c r="I100" i="1"/>
  <c r="I99" i="1"/>
  <c r="I98" i="1"/>
  <c r="I96" i="1"/>
  <c r="I94" i="1"/>
  <c r="I93" i="1"/>
  <c r="I92" i="1"/>
  <c r="I91" i="1"/>
  <c r="I90" i="1"/>
  <c r="I88" i="1"/>
  <c r="I87" i="1"/>
  <c r="I86" i="1"/>
  <c r="I85" i="1"/>
  <c r="I83" i="1"/>
  <c r="I82" i="1"/>
  <c r="I81" i="1"/>
  <c r="I80" i="1"/>
  <c r="I79" i="1"/>
  <c r="I78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2" i="1"/>
  <c r="I60" i="1"/>
  <c r="I59" i="1"/>
  <c r="I58" i="1"/>
  <c r="I57" i="1"/>
  <c r="I56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0" i="1"/>
  <c r="I39" i="1"/>
  <c r="I38" i="1"/>
  <c r="I37" i="1"/>
  <c r="I35" i="1"/>
  <c r="I34" i="1"/>
  <c r="I27" i="1"/>
  <c r="I26" i="1"/>
  <c r="I25" i="1"/>
  <c r="I23" i="1"/>
  <c r="I21" i="1"/>
  <c r="I20" i="1"/>
  <c r="I19" i="1"/>
  <c r="I18" i="1"/>
  <c r="A20" i="3"/>
  <c r="F26" i="49" l="1"/>
  <c r="D26" i="49"/>
  <c r="F15" i="49" l="1"/>
  <c r="F27" i="49"/>
  <c r="E26" i="49" l="1"/>
  <c r="F38" i="49"/>
  <c r="F25" i="20"/>
  <c r="D24" i="20"/>
  <c r="D34" i="16"/>
  <c r="F34" i="16"/>
  <c r="E20" i="48"/>
  <c r="E21" i="48"/>
  <c r="D18" i="48"/>
  <c r="F18" i="48"/>
  <c r="F15" i="48" s="1"/>
  <c r="E17" i="48"/>
  <c r="E20" i="47"/>
  <c r="E18" i="47" s="1"/>
  <c r="D20" i="47"/>
  <c r="C20" i="47"/>
  <c r="E17" i="47"/>
  <c r="E15" i="47" s="1"/>
  <c r="D17" i="47"/>
  <c r="C17" i="47"/>
  <c r="C17" i="7"/>
  <c r="D17" i="7"/>
  <c r="E17" i="7"/>
  <c r="E15" i="7" l="1"/>
  <c r="E20" i="7" s="1"/>
  <c r="E24" i="20"/>
  <c r="E34" i="16"/>
  <c r="F19" i="48"/>
  <c r="F22" i="48" s="1"/>
  <c r="E18" i="48"/>
  <c r="E21" i="47"/>
  <c r="F16" i="1"/>
  <c r="I16" i="1" s="1"/>
  <c r="J16" i="1" s="1"/>
  <c r="F17" i="1"/>
  <c r="I17" i="1" s="1"/>
  <c r="F25" i="44" l="1"/>
  <c r="E24" i="44"/>
  <c r="F24" i="44" l="1"/>
  <c r="F15" i="44" l="1"/>
  <c r="F34" i="44" s="1"/>
  <c r="D24" i="44"/>
  <c r="E18" i="43" l="1"/>
  <c r="E17" i="43"/>
  <c r="E31" i="43"/>
  <c r="E30" i="43"/>
  <c r="E29" i="43"/>
  <c r="E28" i="43"/>
  <c r="E27" i="43"/>
  <c r="E26" i="43"/>
  <c r="F25" i="43" l="1"/>
  <c r="F24" i="43"/>
  <c r="F16" i="43" s="1"/>
  <c r="D24" i="43"/>
  <c r="E22" i="43"/>
  <c r="E21" i="43"/>
  <c r="E20" i="43"/>
  <c r="E19" i="43"/>
  <c r="G48" i="42"/>
  <c r="G47" i="42"/>
  <c r="G46" i="42"/>
  <c r="F44" i="42"/>
  <c r="E44" i="42"/>
  <c r="D44" i="42"/>
  <c r="C44" i="42"/>
  <c r="G43" i="42"/>
  <c r="F41" i="42"/>
  <c r="E41" i="42"/>
  <c r="D41" i="42"/>
  <c r="C41" i="42"/>
  <c r="G40" i="42"/>
  <c r="G39" i="42"/>
  <c r="G37" i="42"/>
  <c r="G36" i="42"/>
  <c r="G34" i="42"/>
  <c r="F33" i="42"/>
  <c r="E33" i="42"/>
  <c r="D33" i="42"/>
  <c r="C33" i="42"/>
  <c r="G33" i="42" s="1"/>
  <c r="E26" i="42"/>
  <c r="E25" i="42"/>
  <c r="E24" i="42"/>
  <c r="E23" i="42"/>
  <c r="F22" i="42"/>
  <c r="F21" i="42"/>
  <c r="F15" i="42" s="1"/>
  <c r="F27" i="42" s="1"/>
  <c r="D21" i="42"/>
  <c r="E19" i="42"/>
  <c r="E18" i="42"/>
  <c r="E17" i="42"/>
  <c r="E16" i="42"/>
  <c r="G44" i="42" l="1"/>
  <c r="E21" i="42"/>
  <c r="G41" i="42"/>
  <c r="F35" i="43"/>
  <c r="E24" i="43"/>
  <c r="J66" i="1"/>
  <c r="J75" i="1"/>
  <c r="H63" i="1"/>
  <c r="E129" i="1"/>
  <c r="E21" i="9"/>
  <c r="E20" i="9"/>
  <c r="E16" i="9" s="1"/>
  <c r="D20" i="9"/>
  <c r="C20" i="9"/>
  <c r="E18" i="11"/>
  <c r="E15" i="11"/>
  <c r="F35" i="16"/>
  <c r="F15" i="16"/>
  <c r="J23" i="1"/>
  <c r="H29" i="1"/>
  <c r="I29" i="1" s="1"/>
  <c r="H24" i="1"/>
  <c r="I24" i="1" s="1"/>
  <c r="J37" i="1"/>
  <c r="J35" i="1"/>
  <c r="J34" i="1"/>
  <c r="G33" i="1"/>
  <c r="I33" i="1" s="1"/>
  <c r="J33" i="1" s="1"/>
  <c r="G32" i="1"/>
  <c r="I32" i="1" s="1"/>
  <c r="J32" i="1" s="1"/>
  <c r="G31" i="1"/>
  <c r="H36" i="1"/>
  <c r="J104" i="1"/>
  <c r="J103" i="1"/>
  <c r="J102" i="1"/>
  <c r="J101" i="1"/>
  <c r="J100" i="1"/>
  <c r="J99" i="1"/>
  <c r="J98" i="1"/>
  <c r="F63" i="1"/>
  <c r="J105" i="1"/>
  <c r="J13" i="1"/>
  <c r="J17" i="1"/>
  <c r="J65" i="1"/>
  <c r="J67" i="1"/>
  <c r="J68" i="1"/>
  <c r="J69" i="1"/>
  <c r="J70" i="1"/>
  <c r="J71" i="1"/>
  <c r="J72" i="1"/>
  <c r="J73" i="1"/>
  <c r="J74" i="1"/>
  <c r="J76" i="1"/>
  <c r="J87" i="1"/>
  <c r="J88" i="1"/>
  <c r="J106" i="1"/>
  <c r="H30" i="1" l="1"/>
  <c r="I36" i="1"/>
  <c r="G30" i="1"/>
  <c r="I31" i="1"/>
  <c r="J31" i="1" s="1"/>
  <c r="D19" i="26"/>
  <c r="F54" i="16"/>
  <c r="J36" i="1"/>
  <c r="E25" i="9"/>
  <c r="E20" i="11"/>
  <c r="F20" i="26"/>
  <c r="J107" i="1" l="1"/>
  <c r="H39" i="2" l="1"/>
  <c r="H37" i="2"/>
  <c r="H32" i="2"/>
  <c r="H27" i="2"/>
  <c r="H25" i="2"/>
  <c r="H20" i="2"/>
  <c r="H15" i="2"/>
  <c r="H10" i="2"/>
  <c r="G39" i="2"/>
  <c r="G37" i="2"/>
  <c r="G32" i="2"/>
  <c r="G27" i="2"/>
  <c r="G25" i="2"/>
  <c r="G20" i="2"/>
  <c r="G15" i="2"/>
  <c r="G10" i="2"/>
  <c r="F39" i="2"/>
  <c r="F37" i="2"/>
  <c r="F32" i="2"/>
  <c r="F27" i="2"/>
  <c r="F25" i="2"/>
  <c r="F20" i="2"/>
  <c r="F15" i="2"/>
  <c r="F10" i="2"/>
  <c r="J45" i="1"/>
  <c r="J48" i="1"/>
  <c r="J47" i="1"/>
  <c r="J46" i="1"/>
  <c r="J44" i="1"/>
  <c r="J43" i="1"/>
  <c r="J42" i="1"/>
  <c r="H97" i="1"/>
  <c r="G97" i="1"/>
  <c r="F97" i="1"/>
  <c r="F84" i="1"/>
  <c r="G14" i="2" l="1"/>
  <c r="G6" i="2" s="1"/>
  <c r="I97" i="1"/>
  <c r="F14" i="2"/>
  <c r="F6" i="2" s="1"/>
  <c r="H14" i="2"/>
  <c r="H6" i="2" s="1"/>
  <c r="J97" i="1"/>
  <c r="G41" i="1"/>
  <c r="H95" i="1"/>
  <c r="H89" i="1"/>
  <c r="H84" i="1"/>
  <c r="H77" i="1"/>
  <c r="G95" i="1"/>
  <c r="G89" i="1"/>
  <c r="G84" i="1"/>
  <c r="G77" i="1"/>
  <c r="G63" i="1"/>
  <c r="I63" i="1" s="1"/>
  <c r="F95" i="1"/>
  <c r="F89" i="1"/>
  <c r="F77" i="1"/>
  <c r="F61" i="1" s="1"/>
  <c r="H119" i="1"/>
  <c r="H114" i="1"/>
  <c r="H109" i="1"/>
  <c r="H55" i="1"/>
  <c r="H41" i="1"/>
  <c r="H28" i="1"/>
  <c r="H22" i="1"/>
  <c r="H14" i="1" s="1"/>
  <c r="H11" i="1"/>
  <c r="G119" i="1"/>
  <c r="G114" i="1"/>
  <c r="G109" i="1"/>
  <c r="G55" i="1"/>
  <c r="G28" i="1"/>
  <c r="G22" i="1"/>
  <c r="G14" i="1" s="1"/>
  <c r="G11" i="1"/>
  <c r="F119" i="1"/>
  <c r="F114" i="1"/>
  <c r="F109" i="1"/>
  <c r="F11" i="1"/>
  <c r="I95" i="1" l="1"/>
  <c r="I89" i="1"/>
  <c r="I84" i="1"/>
  <c r="I77" i="1"/>
  <c r="I11" i="1"/>
  <c r="J11" i="1" s="1"/>
  <c r="H9" i="1"/>
  <c r="J84" i="1"/>
  <c r="J63" i="1"/>
  <c r="J95" i="1"/>
  <c r="J89" i="1"/>
  <c r="G9" i="1"/>
  <c r="G61" i="1"/>
  <c r="H61" i="1"/>
  <c r="F55" i="1"/>
  <c r="F41" i="1"/>
  <c r="F30" i="1"/>
  <c r="I30" i="1" s="1"/>
  <c r="J30" i="1" s="1"/>
  <c r="F28" i="1"/>
  <c r="F22" i="1"/>
  <c r="I41" i="1" l="1"/>
  <c r="J41" i="1" s="1"/>
  <c r="I55" i="1"/>
  <c r="J55" i="1" s="1"/>
  <c r="I61" i="1"/>
  <c r="I28" i="1"/>
  <c r="J28" i="1" s="1"/>
  <c r="F14" i="1"/>
  <c r="I22" i="1"/>
  <c r="J22" i="1" s="1"/>
  <c r="J77" i="1"/>
  <c r="J61" i="1"/>
  <c r="F24" i="20"/>
  <c r="F15" i="20" s="1"/>
  <c r="F34" i="20" s="1"/>
  <c r="E13" i="18"/>
  <c r="D21" i="18"/>
  <c r="C21" i="18"/>
  <c r="E20" i="18"/>
  <c r="E19" i="18"/>
  <c r="E18" i="18"/>
  <c r="E17" i="18"/>
  <c r="E16" i="18"/>
  <c r="E15" i="18"/>
  <c r="E14" i="18"/>
  <c r="E12" i="18"/>
  <c r="E11" i="18"/>
  <c r="E11" i="13"/>
  <c r="D21" i="13"/>
  <c r="C21" i="13"/>
  <c r="E20" i="13"/>
  <c r="E19" i="13"/>
  <c r="E18" i="13"/>
  <c r="E17" i="13"/>
  <c r="E16" i="13"/>
  <c r="E15" i="13"/>
  <c r="E14" i="13"/>
  <c r="E13" i="13"/>
  <c r="E12" i="13"/>
  <c r="D17" i="5"/>
  <c r="E17" i="5"/>
  <c r="C17" i="5"/>
  <c r="F12" i="6"/>
  <c r="F13" i="6"/>
  <c r="F14" i="6"/>
  <c r="F15" i="6"/>
  <c r="F16" i="6"/>
  <c r="F11" i="6"/>
  <c r="D17" i="6"/>
  <c r="E17" i="6"/>
  <c r="C17" i="6"/>
  <c r="F12" i="5"/>
  <c r="F13" i="5"/>
  <c r="F14" i="5"/>
  <c r="F15" i="5"/>
  <c r="F16" i="5"/>
  <c r="F9" i="1" l="1"/>
  <c r="I9" i="1" s="1"/>
  <c r="J9" i="1" s="1"/>
  <c r="I14" i="1"/>
  <c r="J14" i="1" s="1"/>
  <c r="E21" i="13"/>
  <c r="F17" i="6"/>
  <c r="E21" i="18"/>
  <c r="F17" i="5"/>
  <c r="E19" i="26" l="1"/>
  <c r="F19" i="26"/>
  <c r="F15" i="26" s="1"/>
  <c r="F24" i="26" s="1"/>
</calcChain>
</file>

<file path=xl/sharedStrings.xml><?xml version="1.0" encoding="utf-8"?>
<sst xmlns="http://schemas.openxmlformats.org/spreadsheetml/2006/main" count="1171" uniqueCount="431">
  <si>
    <t>Подраздел</t>
  </si>
  <si>
    <t>Код строки</t>
  </si>
  <si>
    <t>Сумма (руб.) (с точностью до двух знаков после запятой - 0,00)</t>
  </si>
  <si>
    <t>Субсидии на финансовое обеспечение выполнения муниципального задания</t>
  </si>
  <si>
    <t>Субсидии, предоставляемые в соответствии с абзацем вторым пункта 1 статьи 78.1 Бюджетного кодекса РФ 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</si>
  <si>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</si>
  <si>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года[3]</t>
  </si>
  <si>
    <t>x</t>
  </si>
  <si>
    <t>Остаток средств на конец текущего финансового года[4]</t>
  </si>
  <si>
    <t>(1100+1200 + 1300 + 1400 + 1500 + 1900)</t>
  </si>
  <si>
    <t>х</t>
  </si>
  <si>
    <t>в том числе:</t>
  </si>
  <si>
    <t>доходы от собственности, всего</t>
  </si>
  <si>
    <t xml:space="preserve">Доходы от оказания услуг, работ, компенсации затрат учреждений, всего </t>
  </si>
  <si>
    <t>субсидии на финансовое обеспечение выполнения муниципального задания</t>
  </si>
  <si>
    <t>гранты</t>
  </si>
  <si>
    <t xml:space="preserve">доходы, при оказании услуг, выполнении работ за плату сверх установленного муниципального задания </t>
  </si>
  <si>
    <t xml:space="preserve">доходы от иной приносящей доход деятельности, предусмотренной уставом учреждения </t>
  </si>
  <si>
    <t>родительская плата (питание МАДОУ)</t>
  </si>
  <si>
    <t>1213/1</t>
  </si>
  <si>
    <t>прочие доходы</t>
  </si>
  <si>
    <t>1213/2</t>
  </si>
  <si>
    <t>доходы от штрафов, пеней, иных сумм принудительного изъятия, всего</t>
  </si>
  <si>
    <t>безвозмездные денежные поступления</t>
  </si>
  <si>
    <t xml:space="preserve">целевые субсидии </t>
  </si>
  <si>
    <t>благотворительность</t>
  </si>
  <si>
    <t>пожертвования</t>
  </si>
  <si>
    <t>субсидии на осуществление капитальных вложений</t>
  </si>
  <si>
    <t>прочие доходы, всего</t>
  </si>
  <si>
    <t>в том числе: целевые субсидии</t>
  </si>
  <si>
    <t>доходы от операций с активами, всего</t>
  </si>
  <si>
    <t>прочие поступления, всего[5]</t>
  </si>
  <si>
    <t>из них:</t>
  </si>
  <si>
    <t>увеличение остатков денежных средств за счет возврата дебиторской задолженности прошлых лет</t>
  </si>
  <si>
    <t>Расходы, всего:</t>
  </si>
  <si>
    <t>(2100 + 2200 + 2300 + 2400 + 2500 + 2600)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</si>
  <si>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</si>
  <si>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</si>
  <si>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</si>
  <si>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</si>
  <si>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</si>
  <si>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</si>
  <si>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</si>
  <si>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</si>
  <si>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</si>
  <si>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иные выплаты населению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</si>
  <si>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</si>
  <si>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</si>
  <si>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</si>
  <si>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</si>
  <si>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</si>
  <si>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</si>
  <si>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</si>
  <si>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</si>
  <si>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</si>
  <si>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</si>
  <si>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</si>
  <si>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всего[6]</t>
  </si>
  <si>
    <t>прочую закупку товаров, работ и услуг, всего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</si>
  <si>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</si>
  <si>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закупку энергетических ресурсов</t>
  </si>
  <si>
    <t>капитальные вложения в объекты муниципальной собственности, всего</t>
  </si>
  <si>
    <t>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</si>
  <si>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</si>
  <si>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специальные расходы</t>
  </si>
  <si>
    <t>Выплаты, уменьшающие доход, всего[7]</t>
  </si>
  <si>
    <t>налог на прибыль[8]</t>
  </si>
  <si>
    <t>налог на добавленную стоимость[9]</t>
  </si>
  <si>
    <t>прочие налоги, уменьшающие доход[10]</t>
  </si>
  <si>
    <t>Прочие выплаты, всего[11]</t>
  </si>
  <si>
    <t>возврат в бюджет средств субсидии</t>
  </si>
  <si>
    <t>№ п/п</t>
  </si>
  <si>
    <t>Наименование показателя</t>
  </si>
  <si>
    <t>Коды строк</t>
  </si>
  <si>
    <t>Год начала закупки</t>
  </si>
  <si>
    <t>Код по бюджетной классификации Российской Федерации</t>
  </si>
  <si>
    <t>Сумма</t>
  </si>
  <si>
    <t>за пределами планового периода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</si>
  <si>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223-ФЗ[3]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</si>
  <si>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223-ФЗ[4]</t>
  </si>
  <si>
    <t>в том числе</t>
  </si>
  <si>
    <t>в соответствии с Федеральным законом № 44-ФЗ</t>
  </si>
  <si>
    <t xml:space="preserve">из них </t>
  </si>
  <si>
    <t>26310.1</t>
  </si>
  <si>
    <t>в соответствии с Федеральным законом № 223-ФЗ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</si>
  <si>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223-ФЗ[5]</t>
  </si>
  <si>
    <t>за счет субсидий, предоставляемых на финансовое обеспечение выполнения муниципального задания</t>
  </si>
  <si>
    <t>1.4.1.1</t>
  </si>
  <si>
    <t>1.4.1.2</t>
  </si>
  <si>
    <t>в соответствии с Федеральным законом № 223-ФЗ[6]</t>
  </si>
  <si>
    <t>за счет субсидий, предоставляемых в соответствии с абзацем вторым пункта 1 статьи 78.1 Бюджетного кодекса Российской Федерации</t>
  </si>
  <si>
    <t>1.4.2.1</t>
  </si>
  <si>
    <t>из них</t>
  </si>
  <si>
    <t>26421.1</t>
  </si>
  <si>
    <t>1.4.2.2</t>
  </si>
  <si>
    <t>в соответствии с Федеральным законом № 223-ФЗ[7]</t>
  </si>
  <si>
    <t>за счет субсидий, предоставляемых на осуществление капитальных вложений[8]</t>
  </si>
  <si>
    <t>26430.1</t>
  </si>
  <si>
    <t>за счет прочих источников финансового обеспечения</t>
  </si>
  <si>
    <t>1.4.4.1</t>
  </si>
  <si>
    <t>26441.1</t>
  </si>
  <si>
    <t>1.4.4.2</t>
  </si>
  <si>
    <t>1.4.5.1</t>
  </si>
  <si>
    <t>26451.1</t>
  </si>
  <si>
    <t>1.4.5.2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</si>
  <si>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</si>
  <si>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</si>
  <si>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</si>
  <si>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</si>
  <si>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</si>
  <si>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Сведения по выплатам на закупки товаров, работ, услуг</t>
  </si>
  <si>
    <t>Поступления и выплаты</t>
  </si>
  <si>
    <t>ИТОГО</t>
  </si>
  <si>
    <t>Наименование расходов</t>
  </si>
  <si>
    <t>Количество сотрудников</t>
  </si>
  <si>
    <t>(чел.)</t>
  </si>
  <si>
    <t>Количество</t>
  </si>
  <si>
    <t>дней</t>
  </si>
  <si>
    <t>Средняя</t>
  </si>
  <si>
    <t>стоимость (руб.)</t>
  </si>
  <si>
    <t>Сумма, рублей</t>
  </si>
  <si>
    <t>(гр.3*гр.4*гр.5)</t>
  </si>
  <si>
    <t>Численность работников, использующих право на компенсацию (пособие)</t>
  </si>
  <si>
    <t>Количество платежей в год</t>
  </si>
  <si>
    <t>Размер компенсации (пособия), тыс. руб.</t>
  </si>
  <si>
    <t>Пособие на ребенка</t>
  </si>
  <si>
    <t>Размер базы для начисления страховых взносов (ФОТ) на год (руб.)</t>
  </si>
  <si>
    <t>Ставка налога</t>
  </si>
  <si>
    <t>(%)</t>
  </si>
  <si>
    <t>(гр.3*гр.4)</t>
  </si>
  <si>
    <t xml:space="preserve">Приложение № 2 </t>
  </si>
  <si>
    <t>к порядку составления и утверждения планов финансово-хозяйственной деятельности муниципальных бюджетных и автономных учреждений Сысертского городского округа»</t>
  </si>
  <si>
    <t>Расчет расходов на выплаты персоналу</t>
  </si>
  <si>
    <t>Налоговая база</t>
  </si>
  <si>
    <t>Ставка налога, %</t>
  </si>
  <si>
    <t>Сумма исчисленного налога, подлежащего уплате, рублей</t>
  </si>
  <si>
    <t>Расчет расходов на уплату налогов, сборов и иных платежей</t>
  </si>
  <si>
    <t>Размер одной выплаты (руб.)</t>
  </si>
  <si>
    <t>Количество выплат в год</t>
  </si>
  <si>
    <t>Общая сумма выплат, рублей</t>
  </si>
  <si>
    <t>№</t>
  </si>
  <si>
    <t>п/п</t>
  </si>
  <si>
    <t>(руб.)</t>
  </si>
  <si>
    <t>Расчет расходов на оплату транспортных услуг</t>
  </si>
  <si>
    <t>Количество услуг (перевозки)</t>
  </si>
  <si>
    <t>Цена услуги, перевозки</t>
  </si>
  <si>
    <t>Расчет расходов на оплату коммунальных услуг</t>
  </si>
  <si>
    <t xml:space="preserve">Наименование </t>
  </si>
  <si>
    <t>Поставщика/услуг</t>
  </si>
  <si>
    <t xml:space="preserve">Единица   </t>
  </si>
  <si>
    <t>измерения</t>
  </si>
  <si>
    <t>в год (ед.)</t>
  </si>
  <si>
    <t>Тариф</t>
  </si>
  <si>
    <t>(гр.4*гр.5)</t>
  </si>
  <si>
    <t>(ед.)</t>
  </si>
  <si>
    <t>Расчет расходов на содержание имущества</t>
  </si>
  <si>
    <t>Количество работ/услуг</t>
  </si>
  <si>
    <t xml:space="preserve"> (руб.)</t>
  </si>
  <si>
    <t>Средняя стоимость работ/услуг</t>
  </si>
  <si>
    <t>Единица измерения</t>
  </si>
  <si>
    <t>Расчет расходов на оплату прочих работ, услуг</t>
  </si>
  <si>
    <t>Количество договоров/ работ/услуг (ед.)</t>
  </si>
  <si>
    <t xml:space="preserve">Средняя стоимость работ/услуг </t>
  </si>
  <si>
    <t>Расчет прочих расходов</t>
  </si>
  <si>
    <t>Средняя стоимость</t>
  </si>
  <si>
    <t>Расчет расходов на приобретение материальных запасов</t>
  </si>
  <si>
    <t xml:space="preserve">Количество </t>
  </si>
  <si>
    <t>Стоимость</t>
  </si>
  <si>
    <r>
      <t>по контрактам (договорам), заключенным до начала текущего финансового года без применения норм </t>
    </r>
    <r>
      <rPr>
        <sz val="9"/>
        <rFont val="Times New Roman"/>
        <family val="1"/>
        <charset val="204"/>
      </rPr>
      <t>Федерального закона от 05.04.2013 № 44-ФЗ «О контрактной системе в сфере закупок товаров, работ, услуг для обеспечения государственных и муниципальных нужд</t>
    </r>
    <r>
      <rPr>
        <sz val="9"/>
        <color theme="1"/>
        <rFont val="Times New Roman"/>
        <family val="1"/>
        <charset val="204"/>
      </rPr>
      <t>« и </t>
    </r>
    <r>
      <rPr>
        <sz val="9"/>
        <rFont val="Times New Roman"/>
        <family val="1"/>
        <charset val="204"/>
      </rPr>
      <t>Федерального закона от 18.07.2011 № 223-ФЗ «О закупках товаров, работ, услуг отдельными видами юридических лиц</t>
    </r>
    <r>
      <rPr>
        <sz val="9"/>
        <color theme="1"/>
        <rFont val="Times New Roman"/>
        <family val="1"/>
        <charset val="204"/>
      </rPr>
      <t>»</t>
    </r>
    <r>
      <rPr>
        <vertAlign val="superscript"/>
        <sz val="9"/>
        <color theme="1"/>
        <rFont val="Times New Roman"/>
        <family val="1"/>
        <charset val="204"/>
      </rPr>
      <t>[2]</t>
    </r>
  </si>
  <si>
    <t>1.1</t>
  </si>
  <si>
    <t>1.2</t>
  </si>
  <si>
    <t>1.3</t>
  </si>
  <si>
    <t>1.3.1</t>
  </si>
  <si>
    <t>1.3.2</t>
  </si>
  <si>
    <t>1.4</t>
  </si>
  <si>
    <t>1.4.1</t>
  </si>
  <si>
    <t>1.4.3</t>
  </si>
  <si>
    <t>1.4.2</t>
  </si>
  <si>
    <t>1.4.4</t>
  </si>
  <si>
    <t>1.4.5</t>
  </si>
  <si>
    <r>
      <t>Доходы, всего</t>
    </r>
    <r>
      <rPr>
        <sz val="9"/>
        <color theme="1"/>
        <rFont val="Times New Roman"/>
        <family val="1"/>
        <charset val="204"/>
      </rPr>
      <t>:</t>
    </r>
  </si>
  <si>
    <t xml:space="preserve">Приложение № 1 </t>
  </si>
  <si>
    <t>УТВЕРЖДАЮ</t>
  </si>
  <si>
    <t>(наименование должности уполномоченного лица, утверждающего документ)</t>
  </si>
  <si>
    <t>План</t>
  </si>
  <si>
    <t>КОДЫ</t>
  </si>
  <si>
    <t>Дата</t>
  </si>
  <si>
    <t>По Сводному реестру</t>
  </si>
  <si>
    <t>Глава по БК</t>
  </si>
  <si>
    <t>ИНН</t>
  </si>
  <si>
    <t>Наименование муниципального учреждения</t>
  </si>
  <si>
    <t>КПП</t>
  </si>
  <si>
    <t>По ОКЕИ</t>
  </si>
  <si>
    <t>Ед. измерения: руб.</t>
  </si>
  <si>
    <t>[1] В случае утверждения Решения о бюджете на текущий финансовый год и плановый период.</t>
  </si>
  <si>
    <t>[2] Указывается дата утверждения Плана.</t>
  </si>
  <si>
    <t xml:space="preserve"> (подпись)</t>
  </si>
  <si>
    <t>Орган, осуществляющий функции и полномочия учредителя</t>
  </si>
  <si>
    <t>4.1</t>
  </si>
  <si>
    <t>Аналитический код</t>
  </si>
  <si>
    <t>-</t>
  </si>
  <si>
    <t>60307W5610</t>
  </si>
  <si>
    <t>0702</t>
  </si>
  <si>
    <t>0709</t>
  </si>
  <si>
    <t>Руководитель</t>
  </si>
  <si>
    <t xml:space="preserve">____________ </t>
  </si>
  <si>
    <t xml:space="preserve">  (подпись)     </t>
  </si>
  <si>
    <t xml:space="preserve">  (расшифровка подписи)</t>
  </si>
  <si>
    <t>Заместитель директора по УВР</t>
  </si>
  <si>
    <t>Выплаты на закупку товаров, работ, услуг всего[1]
в том числе:</t>
  </si>
  <si>
    <t>0702 6042025880 244 226</t>
  </si>
  <si>
    <t>МАОУ СРЕДНЯЯ ОБЩЕОБРАЗОВАТЕЛЬНАЯ ШКОЛА №8</t>
  </si>
  <si>
    <t>ФОТ по смете</t>
  </si>
  <si>
    <t>м3</t>
  </si>
  <si>
    <t>месяц</t>
  </si>
  <si>
    <t>штук</t>
  </si>
  <si>
    <t>человек</t>
  </si>
  <si>
    <t>Хозяйственные товары</t>
  </si>
  <si>
    <t>Резерв</t>
  </si>
  <si>
    <t>____________   С. А. Мансуров</t>
  </si>
  <si>
    <t>Ответственный исполнитель</t>
  </si>
  <si>
    <t>61О0125800</t>
  </si>
  <si>
    <t>61О0125810</t>
  </si>
  <si>
    <t xml:space="preserve">60306W5410 </t>
  </si>
  <si>
    <t>1101</t>
  </si>
  <si>
    <t>61О0125820</t>
  </si>
  <si>
    <t xml:space="preserve">60306W5420 </t>
  </si>
  <si>
    <t xml:space="preserve">60307W5610 </t>
  </si>
  <si>
    <t>И. А. Субботин</t>
  </si>
  <si>
    <t>60306W5410</t>
  </si>
  <si>
    <t>МАУ ДО "Спортивная школа Сысертского городского округа»</t>
  </si>
  <si>
    <t>1101 6030625450 244 225</t>
  </si>
  <si>
    <t>Выделено по смете</t>
  </si>
  <si>
    <t>Требуется по смете</t>
  </si>
  <si>
    <t>Разница</t>
  </si>
  <si>
    <t>Технический осмотр (Волга Сайбер, Газель Некст Ситилайн)</t>
  </si>
  <si>
    <t>Техническое обслуживание и ремонт транспорта (Волга Сайбер, Газель Некст Ситилайн)</t>
  </si>
  <si>
    <t>Услуги по проведению предрейсового технического осмотра (Газель Некст Ситилайн)</t>
  </si>
  <si>
    <t>_________________  И. А. Субботин</t>
  </si>
  <si>
    <t>Директор муниципального автономного учреждения дополнительного образования "Спортивная школа Сысертского городского округа»</t>
  </si>
  <si>
    <t>ИЗМЕНЕНИЯ В СМЕТУ</t>
  </si>
  <si>
    <t>1 транспортное средство</t>
  </si>
  <si>
    <t>1101 6030625450 621 852</t>
  </si>
  <si>
    <t>Транспортный налог</t>
  </si>
  <si>
    <t>(инициалы и фамилия)</t>
  </si>
  <si>
    <t>от</t>
  </si>
  <si>
    <t>9900245Л00</t>
  </si>
  <si>
    <t>0709 6030725610  226</t>
  </si>
  <si>
    <t>МАОУ ДОЛ "МАЯК" 3 смена (02.07.2024-15.07.2024)</t>
  </si>
  <si>
    <t>кол-во путевок</t>
  </si>
  <si>
    <t>ДОЛ Спутник 5 смена (12.07.2024-25.07.2024)</t>
  </si>
  <si>
    <t>Лагерь Буревестник 3 смена (13.06.2024-26.06.2024)</t>
  </si>
  <si>
    <t xml:space="preserve">Юность Урала 1 смена </t>
  </si>
  <si>
    <t xml:space="preserve">                                                  </t>
  </si>
  <si>
    <t>Расчеты по загородным лагерям</t>
  </si>
  <si>
    <t>Итого</t>
  </si>
  <si>
    <t>Количество путевок</t>
  </si>
  <si>
    <t>Цена путевки</t>
  </si>
  <si>
    <t>Всего на путевки:</t>
  </si>
  <si>
    <t>В том числе:</t>
  </si>
  <si>
    <t>полностью за счет бюджета</t>
  </si>
  <si>
    <t>10% родительской платы</t>
  </si>
  <si>
    <t>3 чел.*2500,00 = 7500,00 руб.</t>
  </si>
  <si>
    <t>5 чел. * 2500,00 = 12500,00 руб.</t>
  </si>
  <si>
    <t>3 чел. * 2584,29 = 7752,86 руб.</t>
  </si>
  <si>
    <t>1 чел. * 2740,00 = 2740,00 руб.</t>
  </si>
  <si>
    <t>20% родительской платы</t>
  </si>
  <si>
    <t>4 чел.*5000,00 = 20000,00 руб.</t>
  </si>
  <si>
    <t>7 чел.*5000,00 = 35000,00 руб.</t>
  </si>
  <si>
    <t>2 чел.*5168,57 = 10337,14 руб.</t>
  </si>
  <si>
    <t>4 чел.*5480,00 = 21920,00 руб.</t>
  </si>
  <si>
    <t>Всего родительской платы:</t>
  </si>
  <si>
    <t>4 чел.*2500,00 = 10000,00 руб.</t>
  </si>
  <si>
    <t>4 чел. * 2500,00 = 10000,00 руб.</t>
  </si>
  <si>
    <t>0 чел. * 2584,29 = 
0,00 руб.</t>
  </si>
  <si>
    <t>2 чел. * 2740,00 = 5480,00 руб.</t>
  </si>
  <si>
    <t>5 чел.*5000,00 = 25000,00 руб.</t>
  </si>
  <si>
    <t>0 чел.*5168,57 = 
0,00 руб.</t>
  </si>
  <si>
    <t>3 чел.*5480,00 = 16440,00 руб.</t>
  </si>
  <si>
    <t>0709 60307W5610  226</t>
  </si>
  <si>
    <t>Е. В. Хисамова</t>
  </si>
  <si>
    <t>Лагерь дневнего пребывания</t>
  </si>
  <si>
    <t>Лагерь Буревестник 4 смена</t>
  </si>
  <si>
    <t>Лагерь Буревестник 5 смена</t>
  </si>
  <si>
    <t>1101 6030625450 244 227</t>
  </si>
  <si>
    <t>Страхование имущества</t>
  </si>
  <si>
    <t>1101 6100125810 624 111</t>
  </si>
  <si>
    <t>1101 6030625410 624 111</t>
  </si>
  <si>
    <t>1101 6100125810 624 119</t>
  </si>
  <si>
    <t>1101 6030625410 624 119</t>
  </si>
  <si>
    <t>1101 6100125820 244 226</t>
  </si>
  <si>
    <t>месяцев</t>
  </si>
  <si>
    <t>Оплата договоров на услуги бассейнов  "Дельфин"</t>
  </si>
  <si>
    <t xml:space="preserve">Оплата договоров на услуги бассейнов "Адмирал" </t>
  </si>
  <si>
    <t>Дезинфекция, дезинсекция, санитарно- гигиеническое обслуживание</t>
  </si>
  <si>
    <t>Дератизация</t>
  </si>
  <si>
    <t>Аккарицидная обработка против клещей</t>
  </si>
  <si>
    <t>Техобслуживание ПАК (ОКО-Охрана) ул. Карла Маркса, д. 92</t>
  </si>
  <si>
    <t>Техобслуживание ПАК (ОКО-Охрана) ул. Коммуны, д. 36</t>
  </si>
  <si>
    <t>Техобслуживание КТС охраны на объекте ул. Карла Маркса, д. 92 (ФГУП «Охрана»)</t>
  </si>
  <si>
    <t>Техобслуживание КТС охраны на объекте ул. Коммуны, д. 36 (ФГУП «Охрана»)</t>
  </si>
  <si>
    <t>Техобслуживание КТС охраны на объекте мкрн «Новый», д. 21 (ФГУП «Охрана»)</t>
  </si>
  <si>
    <t>Техобслуживание пож. сигнализации Карла Маркса, 92</t>
  </si>
  <si>
    <t>Техобслуживание пож. сигнализации Коммуны,36</t>
  </si>
  <si>
    <t>Техобслуживание пож. сигнализации м-н Новый, 21</t>
  </si>
  <si>
    <t xml:space="preserve">Услуги по аварийно-техническому обслуживанию инженерных сетей </t>
  </si>
  <si>
    <t>Заправка картриджей</t>
  </si>
  <si>
    <t>Техническое обслуживание компьютерной и орг. техники</t>
  </si>
  <si>
    <t>Управление и содержание общедомового имущества (Коммуны, 36)</t>
  </si>
  <si>
    <t>Управление и содержание общедомового имущества (мкрн «Новый», д. 21)</t>
  </si>
  <si>
    <t>м2</t>
  </si>
  <si>
    <t>га</t>
  </si>
  <si>
    <t>раз</t>
  </si>
  <si>
    <t>Техобслуживание ПАК (ОКО- Охрана) микрайон Новый 21</t>
  </si>
  <si>
    <t>договор</t>
  </si>
  <si>
    <t>1101 6030625420 244 225</t>
  </si>
  <si>
    <t>Канцтовары</t>
  </si>
  <si>
    <t>Стойматериалы</t>
  </si>
  <si>
    <t>Спортивная форма</t>
  </si>
  <si>
    <t>Кубки и медали</t>
  </si>
  <si>
    <t>1101 6030625420 244 226</t>
  </si>
  <si>
    <t>Медосмотр персонала</t>
  </si>
  <si>
    <t>Исследования СЭС</t>
  </si>
  <si>
    <t>Услуги охраны (абонентская плата за тревожную кнопку, ул.К.Маркса,92)</t>
  </si>
  <si>
    <t>Услуги охраны (абонентская плата за тревожную кнопку, ул.  Коммуны 36)</t>
  </si>
  <si>
    <t>Услуги охраны (абонентская плата за тревожную кнопку, мкр. Новый)</t>
  </si>
  <si>
    <t>Услуги охраны (централизованная охрана объекта, ул.  Коммуны 36)</t>
  </si>
  <si>
    <t>Приобретение неисключительных прав на программ. обеспечение</t>
  </si>
  <si>
    <t>Повышение квалификации сотрудников</t>
  </si>
  <si>
    <t>Услуги охраны (централизованная охрана объекта ул.К.Маркса,92)</t>
  </si>
  <si>
    <t>Услуги охраны (централизованная охрана объекта мкрн «Новый», д. 21)</t>
  </si>
  <si>
    <t>к порядку составления и утверждения планов финансово-хозяйственной деятельности муниципальных бюджетных и автономных учреждений Сысертского муниципального округа»</t>
  </si>
  <si>
    <t>И. О. начальника Управления образования</t>
  </si>
  <si>
    <t>«09» января 2025 года</t>
  </si>
  <si>
    <r>
      <t>(на 2025 г. и плановый период 2026 и 2027 годов</t>
    </r>
    <r>
      <rPr>
        <vertAlign val="superscript"/>
        <sz val="11"/>
        <color theme="1"/>
        <rFont val="Times New Roman"/>
        <family val="1"/>
        <charset val="204"/>
      </rPr>
      <t>[1]</t>
    </r>
    <r>
      <rPr>
        <sz val="11"/>
        <color theme="1"/>
        <rFont val="Times New Roman"/>
        <family val="1"/>
        <charset val="204"/>
      </rPr>
      <t>)</t>
    </r>
  </si>
  <si>
    <t>Управление образования Администрации Сысертского муниципального округа</t>
  </si>
  <si>
    <t>Муниципальное автономное учреждение дополнительного образования «Сысертская спортивная школа»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</si>
  <si>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</si>
  <si>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</si>
  <si>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</si>
  <si>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</si>
  <si>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</si>
  <si>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</si>
  <si>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r>
      <t xml:space="preserve">Директор муниципального автономного учреждения дополнительного образования </t>
    </r>
    <r>
      <rPr>
        <sz val="12"/>
        <color theme="1"/>
        <rFont val="Calibri"/>
        <family val="2"/>
        <charset val="204"/>
      </rPr>
      <t>«</t>
    </r>
    <r>
      <rPr>
        <sz val="12"/>
        <color theme="1"/>
        <rFont val="Times New Roman"/>
        <family val="1"/>
        <charset val="204"/>
      </rPr>
      <t>Сысертская спортивная школа»</t>
    </r>
  </si>
  <si>
    <t>МАУ ДО «Сысертская спортивная школа»</t>
  </si>
  <si>
    <t>Должность</t>
  </si>
  <si>
    <t>Количество штатных единиц</t>
  </si>
  <si>
    <t>Оклад (должностной оклад), руб.</t>
  </si>
  <si>
    <t>Стимулирующие выплаты (указать согласно Положению об оплате труда)</t>
  </si>
  <si>
    <t>Выплаты компенсационного характера (указать согласно Положению об оплате труда)</t>
  </si>
  <si>
    <t>Уральский коэффициент</t>
  </si>
  <si>
    <t>Итого руб.</t>
  </si>
  <si>
    <t>Начисления на заработную плату за 12 месяцев</t>
  </si>
  <si>
    <t>Уборщик служебных помещений</t>
  </si>
  <si>
    <t>Водитель</t>
  </si>
  <si>
    <t>Премия</t>
  </si>
  <si>
    <t>Увелечение МРОТ с 01.01.2025 года</t>
  </si>
  <si>
    <t xml:space="preserve">ИТОГО </t>
  </si>
  <si>
    <t>Индексация на 4.5% с 01.10.2025 года</t>
  </si>
  <si>
    <t>Замена должностей находщихся в отпуске с 01.01.2025 года по 31.12.2025 года</t>
  </si>
  <si>
    <t xml:space="preserve">Наименование расходов   </t>
  </si>
  <si>
    <t>Согласно тарификации от 01.10.2024 года</t>
  </si>
  <si>
    <t xml:space="preserve">Требуется по смете </t>
  </si>
  <si>
    <t xml:space="preserve">Тренер по плаванию </t>
  </si>
  <si>
    <t>Выделено бюджетных средств</t>
  </si>
  <si>
    <t>Директор</t>
  </si>
  <si>
    <t>Заместитель директора по АХР</t>
  </si>
  <si>
    <t>Тренер-преподаватель</t>
  </si>
  <si>
    <t>Методист</t>
  </si>
  <si>
    <t>Старший методист</t>
  </si>
  <si>
    <t>Старший тренер-преподаватель</t>
  </si>
  <si>
    <t>Спортсмен-инструктор</t>
  </si>
  <si>
    <t>Специалист по кадрам</t>
  </si>
  <si>
    <t xml:space="preserve">Медицинская сестра </t>
  </si>
  <si>
    <t>Врач</t>
  </si>
  <si>
    <t>Заведующая хозяйством</t>
  </si>
  <si>
    <t>Секретарь</t>
  </si>
  <si>
    <t xml:space="preserve">Рабочий по обслуживанию зданий </t>
  </si>
  <si>
    <t>Вахтер</t>
  </si>
  <si>
    <t>Уборщик территорий</t>
  </si>
  <si>
    <t>Специалист по охране труда</t>
  </si>
  <si>
    <t>Директор муниципального автономного учреждения дополнительного образования «Сысертская спортивная школа»</t>
  </si>
  <si>
    <t>финансово-хозяйственной деятельности на 2025 год</t>
  </si>
  <si>
    <t>1101 6030625420 621 247 223</t>
  </si>
  <si>
    <t>Тепл. энергия с 01.01.2025 по 30.06.2025</t>
  </si>
  <si>
    <t>Гкал</t>
  </si>
  <si>
    <t>Тепл. энергия с 01.07.2025 по 31.12.2025</t>
  </si>
  <si>
    <t>Электроэнергия</t>
  </si>
  <si>
    <t>Квт/ч</t>
  </si>
  <si>
    <t>Обязательное страхование автогражданской ответственности</t>
  </si>
  <si>
    <t>шт</t>
  </si>
  <si>
    <t>Предрейсовый и послерейсовый медосмотр водителя Газель Некст Ситилайн</t>
  </si>
  <si>
    <t>Услуги по предоставлению доступа к системе ГЛОНАСС/GPS-навигации</t>
  </si>
  <si>
    <t>км</t>
  </si>
  <si>
    <t>расход</t>
  </si>
  <si>
    <t>итог</t>
  </si>
  <si>
    <t xml:space="preserve">стоимость </t>
  </si>
  <si>
    <t>сумма</t>
  </si>
  <si>
    <t>Приобретение запасных частей</t>
  </si>
  <si>
    <t>Горюче-смазочные материалы (зима) Волга Сайбер</t>
  </si>
  <si>
    <t>Горюче-смазочные материалы (зима) Газель Некст Ситилайн</t>
  </si>
  <si>
    <t>Горюче-смазочные материалы (лето) Волга Сайбер</t>
  </si>
  <si>
    <t>Горюче-смазочные материалы (лето) Газель Некст Ситилайн</t>
  </si>
  <si>
    <t xml:space="preserve">Приобретение горюче-смазочные материалы и расходные материалы (масло, тосол и т.п.) </t>
  </si>
  <si>
    <t>Водоснабжение холодная вода  с 01.07.2025 по 31.12.2025</t>
  </si>
  <si>
    <t>Водоотведение  холодная вода  с 01.01.2025 по 30.06.2025</t>
  </si>
  <si>
    <t>Водоотведение холодная вода  с 01.07.2025 по 31.12.2025</t>
  </si>
  <si>
    <t>Суммы согласно тарификации от 01.09.2024 года</t>
  </si>
  <si>
    <t>Увелечение заработной платы с 09.01.2025 года (изменения стажа работы)</t>
  </si>
  <si>
    <t>Суммы согласно тарификации от 22.11.2024 года</t>
  </si>
  <si>
    <t>Заместитель директора по ВР</t>
  </si>
  <si>
    <t>Премиальный фонд педагогических работников</t>
  </si>
  <si>
    <t>Изменение заработной платы (стимулирующие выплаты) с 09.01.2025 года</t>
  </si>
  <si>
    <t>Согласно тарификации от 22.11.2024 года</t>
  </si>
  <si>
    <t>Водоснабжение холодная вода  с  01.01.2025 по 30.06.2025</t>
  </si>
  <si>
    <t>Расчет расходов на оплату услуг связи</t>
  </si>
  <si>
    <t>1101 6030625420 244 221</t>
  </si>
  <si>
    <t>Количество номеров</t>
  </si>
  <si>
    <t xml:space="preserve">Количество платежей в год </t>
  </si>
  <si>
    <t>Стоимость за единицу (руб.)</t>
  </si>
  <si>
    <t>Абонентская плата (телефон)</t>
  </si>
  <si>
    <t>Абонентская плата Интернет</t>
  </si>
  <si>
    <t>Обращение с ТКО с 01.01.2025 по 30.06.2025</t>
  </si>
  <si>
    <t>Обращение с ТКО с 01.07.2025 по 31.12.2025</t>
  </si>
  <si>
    <t>1101 6030625420 244 223</t>
  </si>
  <si>
    <t>Портативная колонка</t>
  </si>
  <si>
    <t>Микрофоны</t>
  </si>
  <si>
    <t>Гантели</t>
  </si>
  <si>
    <t>литр (км*дни*расход/100км)</t>
  </si>
  <si>
    <t>1101 6030625450 244 340</t>
  </si>
  <si>
    <t>1101 6030625420 244 340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</si>
</sst>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#,##0.00\ &quot;₽&quot;"/>
    <numFmt numFmtId="166" formatCode="[$-F800]dddd\,\ mmmm\ dd\,\ yyyy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rgb="FF44444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u/>
      <sz val="9"/>
      <color rgb="FFFF0000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35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5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Border="1"/>
    <xf numFmtId="0" fontId="8" fillId="0" borderId="0" xfId="0" applyFont="1"/>
    <xf numFmtId="0" fontId="4" fillId="0" borderId="0" xfId="0" applyFont="1"/>
    <xf numFmtId="0" fontId="6" fillId="0" borderId="0" xfId="0" applyFont="1" applyAlignment="1">
      <alignment wrapText="1"/>
    </xf>
    <xf numFmtId="0" fontId="13" fillId="0" borderId="0" xfId="1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wrapText="1"/>
    </xf>
    <xf numFmtId="0" fontId="8" fillId="0" borderId="0" xfId="0" applyFont="1" applyAlignment="1">
      <alignment horizontal="left" vertical="center" indent="15"/>
    </xf>
    <xf numFmtId="0" fontId="6" fillId="0" borderId="0" xfId="0" applyFont="1" applyAlignment="1">
      <alignment horizontal="left" vertical="center" indent="15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8" fillId="0" borderId="0" xfId="0" applyFont="1"/>
    <xf numFmtId="14" fontId="8" fillId="0" borderId="1" xfId="0" applyNumberFormat="1" applyFont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wrapText="1"/>
    </xf>
    <xf numFmtId="0" fontId="6" fillId="0" borderId="3" xfId="0" applyFont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164" fontId="6" fillId="4" borderId="3" xfId="0" applyNumberFormat="1" applyFont="1" applyFill="1" applyBorder="1" applyAlignment="1">
      <alignment horizontal="center" vertical="top" wrapText="1"/>
    </xf>
    <xf numFmtId="164" fontId="6" fillId="0" borderId="3" xfId="0" applyNumberFormat="1" applyFont="1" applyBorder="1" applyAlignment="1">
      <alignment vertical="top" wrapText="1"/>
    </xf>
    <xf numFmtId="164" fontId="6" fillId="3" borderId="3" xfId="0" applyNumberFormat="1" applyFont="1" applyFill="1" applyBorder="1" applyAlignment="1">
      <alignment vertical="top" wrapText="1"/>
    </xf>
    <xf numFmtId="0" fontId="3" fillId="0" borderId="0" xfId="0" applyFont="1"/>
    <xf numFmtId="0" fontId="16" fillId="0" borderId="0" xfId="0" applyFont="1" applyAlignment="1">
      <alignment horizontal="center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164" fontId="6" fillId="2" borderId="3" xfId="0" applyNumberFormat="1" applyFont="1" applyFill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9" fillId="0" borderId="0" xfId="0" applyFont="1"/>
    <xf numFmtId="10" fontId="6" fillId="0" borderId="3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/>
    </xf>
    <xf numFmtId="165" fontId="0" fillId="0" borderId="0" xfId="0" applyNumberFormat="1"/>
    <xf numFmtId="2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top" wrapText="1"/>
    </xf>
    <xf numFmtId="0" fontId="21" fillId="0" borderId="0" xfId="0" applyFont="1" applyAlignment="1">
      <alignment wrapText="1"/>
    </xf>
    <xf numFmtId="0" fontId="22" fillId="0" borderId="0" xfId="1" applyFont="1" applyAlignment="1">
      <alignment horizontal="justify" vertical="center" wrapText="1"/>
    </xf>
    <xf numFmtId="0" fontId="22" fillId="0" borderId="0" xfId="1" applyFont="1" applyAlignment="1">
      <alignment horizontal="left" vertical="center" wrapText="1"/>
    </xf>
    <xf numFmtId="0" fontId="21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left" vertical="center" wrapText="1"/>
    </xf>
    <xf numFmtId="11" fontId="14" fillId="0" borderId="3" xfId="0" applyNumberFormat="1" applyFont="1" applyBorder="1" applyAlignment="1">
      <alignment horizontal="center" vertical="center" wrapText="1"/>
    </xf>
    <xf numFmtId="0" fontId="14" fillId="3" borderId="3" xfId="0" applyFont="1" applyFill="1" applyBorder="1" applyAlignment="1">
      <alignment vertical="top" wrapText="1"/>
    </xf>
    <xf numFmtId="0" fontId="14" fillId="0" borderId="3" xfId="0" quotePrefix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vertical="center" wrapText="1"/>
    </xf>
    <xf numFmtId="0" fontId="23" fillId="0" borderId="0" xfId="1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165" fontId="11" fillId="0" borderId="4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vertical="center" wrapText="1"/>
    </xf>
    <xf numFmtId="9" fontId="6" fillId="0" borderId="3" xfId="2" applyFont="1" applyBorder="1" applyAlignment="1">
      <alignment horizontal="center" vertical="center" wrapText="1"/>
    </xf>
    <xf numFmtId="166" fontId="2" fillId="0" borderId="0" xfId="0" applyNumberFormat="1" applyFont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 applyAlignment="1">
      <alignment vertical="center" wrapText="1"/>
    </xf>
    <xf numFmtId="165" fontId="11" fillId="0" borderId="3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164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5" fontId="26" fillId="0" borderId="3" xfId="0" applyNumberFormat="1" applyFont="1" applyBorder="1" applyAlignment="1">
      <alignment horizontal="center" vertical="center" wrapText="1"/>
    </xf>
    <xf numFmtId="165" fontId="3" fillId="0" borderId="0" xfId="0" applyNumberFormat="1" applyFont="1"/>
    <xf numFmtId="0" fontId="2" fillId="0" borderId="0" xfId="0" applyFont="1" applyAlignment="1">
      <alignment vertical="top" wrapText="1"/>
    </xf>
    <xf numFmtId="10" fontId="3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6" fillId="0" borderId="0" xfId="0" applyFont="1"/>
    <xf numFmtId="44" fontId="6" fillId="0" borderId="0" xfId="0" applyNumberFormat="1" applyFont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/>
    <xf numFmtId="0" fontId="6" fillId="0" borderId="3" xfId="0" applyFont="1" applyFill="1" applyBorder="1" applyAlignment="1">
      <alignment vertical="center" wrapText="1"/>
    </xf>
    <xf numFmtId="165" fontId="29" fillId="0" borderId="3" xfId="0" applyNumberFormat="1" applyFont="1" applyBorder="1"/>
    <xf numFmtId="165" fontId="8" fillId="0" borderId="3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center" vertic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8" fillId="0" borderId="0" xfId="0" quotePrefix="1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Alignment="1">
      <alignment horizontal="center"/>
    </xf>
    <xf numFmtId="165" fontId="6" fillId="5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30" fillId="0" borderId="3" xfId="0" applyFont="1" applyBorder="1"/>
    <xf numFmtId="2" fontId="3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/>
    </xf>
    <xf numFmtId="165" fontId="30" fillId="5" borderId="3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5" borderId="3" xfId="0" applyFont="1" applyFill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top" wrapText="1"/>
    </xf>
    <xf numFmtId="164" fontId="6" fillId="4" borderId="3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vertical="top" wrapText="1"/>
    </xf>
    <xf numFmtId="164" fontId="6" fillId="0" borderId="6" xfId="0" applyNumberFormat="1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left" vertical="center" wrapText="1"/>
    </xf>
    <xf numFmtId="164" fontId="6" fillId="2" borderId="6" xfId="0" applyNumberFormat="1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left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left" vertical="center" wrapText="1"/>
    </xf>
    <xf numFmtId="164" fontId="6" fillId="3" borderId="6" xfId="0" applyNumberFormat="1" applyFont="1" applyFill="1" applyBorder="1" applyAlignment="1">
      <alignment horizontal="left" vertical="center" wrapText="1"/>
    </xf>
    <xf numFmtId="164" fontId="6" fillId="3" borderId="4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left" vertical="center" wrapText="1"/>
    </xf>
    <xf numFmtId="164" fontId="14" fillId="0" borderId="6" xfId="0" applyNumberFormat="1" applyFont="1" applyBorder="1" applyAlignment="1">
      <alignment horizontal="left" vertical="center" wrapText="1"/>
    </xf>
    <xf numFmtId="164" fontId="14" fillId="0" borderId="4" xfId="0" applyNumberFormat="1" applyFont="1" applyBorder="1" applyAlignment="1">
      <alignment horizontal="left" vertical="center" wrapText="1"/>
    </xf>
    <xf numFmtId="164" fontId="21" fillId="0" borderId="6" xfId="0" applyNumberFormat="1" applyFont="1" applyBorder="1" applyAlignment="1">
      <alignment horizontal="left" vertical="center" wrapText="1"/>
    </xf>
    <xf numFmtId="164" fontId="21" fillId="0" borderId="4" xfId="0" applyNumberFormat="1" applyFont="1" applyBorder="1" applyAlignment="1">
      <alignment horizontal="left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left" vertical="center" wrapText="1"/>
    </xf>
    <xf numFmtId="164" fontId="14" fillId="3" borderId="6" xfId="0" applyNumberFormat="1" applyFont="1" applyFill="1" applyBorder="1" applyAlignment="1">
      <alignment horizontal="left" vertical="center" wrapText="1"/>
    </xf>
    <xf numFmtId="164" fontId="14" fillId="3" borderId="4" xfId="0" applyNumberFormat="1" applyFont="1" applyFill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4" fillId="0" borderId="6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wrapText="1"/>
    </xf>
    <xf numFmtId="49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vertical="top" wrapText="1"/>
    </xf>
    <xf numFmtId="164" fontId="6" fillId="0" borderId="3" xfId="0" applyNumberFormat="1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left" vertical="center"/>
    </xf>
    <xf numFmtId="3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8" fillId="0" borderId="3" xfId="0" applyFont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6" fillId="0" borderId="9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6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3" fontId="8" fillId="0" borderId="0" xfId="0" quotePrefix="1" applyNumberFormat="1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quotePrefix="1" applyNumberFormat="1" applyFont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65" fontId="11" fillId="0" borderId="6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workbookViewId="0">
      <selection activeCell="I30" sqref="I30"/>
    </sheetView>
  </sheetViews>
  <sheetFormatPr defaultColWidth="9.109375" defaultRowHeight="13.8" x14ac:dyDescent="0.25"/>
  <cols>
    <col min="1" max="1" width="41.33203125" style="25" customWidth="1"/>
    <col min="2" max="2" width="20.44140625" style="25" customWidth="1"/>
    <col min="3" max="3" width="10" style="25" customWidth="1"/>
    <col min="4" max="4" width="10.88671875" style="25" customWidth="1"/>
    <col min="5" max="5" width="12.6640625" style="25" customWidth="1"/>
    <col min="6" max="16384" width="9.109375" style="25"/>
  </cols>
  <sheetData>
    <row r="1" spans="1:21" ht="15.6" x14ac:dyDescent="0.25">
      <c r="B1" s="241" t="s">
        <v>181</v>
      </c>
      <c r="C1" s="241"/>
      <c r="D1" s="241"/>
      <c r="E1" s="241"/>
    </row>
    <row r="2" spans="1:21" ht="65.25" customHeight="1" x14ac:dyDescent="0.25">
      <c r="B2" s="242" t="s">
        <v>331</v>
      </c>
      <c r="C2" s="242"/>
      <c r="D2" s="242"/>
      <c r="E2" s="242"/>
    </row>
    <row r="3" spans="1:21" ht="18" x14ac:dyDescent="0.25">
      <c r="A3" s="5"/>
      <c r="B3" s="5"/>
      <c r="C3" s="5"/>
    </row>
    <row r="4" spans="1:21" x14ac:dyDescent="0.25">
      <c r="U4" s="36"/>
    </row>
    <row r="5" spans="1:21" x14ac:dyDescent="0.25">
      <c r="C5" s="244" t="s">
        <v>182</v>
      </c>
      <c r="D5" s="244"/>
      <c r="E5" s="244"/>
    </row>
    <row r="6" spans="1:21" x14ac:dyDescent="0.25">
      <c r="S6" s="33"/>
    </row>
    <row r="7" spans="1:21" ht="15.75" customHeight="1" x14ac:dyDescent="0.25">
      <c r="B7" s="245" t="s">
        <v>332</v>
      </c>
      <c r="C7" s="245"/>
      <c r="D7" s="245"/>
      <c r="E7" s="245"/>
      <c r="S7" s="33"/>
    </row>
    <row r="8" spans="1:21" x14ac:dyDescent="0.25">
      <c r="C8" s="247" t="s">
        <v>183</v>
      </c>
      <c r="D8" s="247"/>
      <c r="E8" s="247"/>
      <c r="S8" s="33"/>
    </row>
    <row r="9" spans="1:21" ht="14.25" customHeight="1" x14ac:dyDescent="0.25">
      <c r="C9" s="25" t="s">
        <v>219</v>
      </c>
      <c r="S9" s="4"/>
    </row>
    <row r="10" spans="1:21" x14ac:dyDescent="0.25">
      <c r="C10" s="42" t="s">
        <v>196</v>
      </c>
      <c r="D10" s="42"/>
      <c r="E10" s="42" t="s">
        <v>244</v>
      </c>
      <c r="S10" s="4"/>
    </row>
    <row r="11" spans="1:21" x14ac:dyDescent="0.25">
      <c r="C11" s="244" t="s">
        <v>333</v>
      </c>
      <c r="D11" s="244"/>
      <c r="E11" s="244"/>
      <c r="S11" s="34"/>
    </row>
    <row r="12" spans="1:21" x14ac:dyDescent="0.25">
      <c r="S12" s="34"/>
    </row>
    <row r="13" spans="1:21" x14ac:dyDescent="0.25">
      <c r="S13" s="33"/>
    </row>
    <row r="14" spans="1:21" x14ac:dyDescent="0.25">
      <c r="S14" s="33"/>
    </row>
    <row r="15" spans="1:21" x14ac:dyDescent="0.25">
      <c r="A15" s="4"/>
      <c r="B15" s="4"/>
      <c r="C15" s="4"/>
      <c r="S15" s="33"/>
    </row>
    <row r="16" spans="1:21" x14ac:dyDescent="0.25">
      <c r="A16" s="248" t="s">
        <v>184</v>
      </c>
      <c r="B16" s="248"/>
      <c r="C16" s="248"/>
      <c r="D16" s="248"/>
      <c r="E16" s="248"/>
      <c r="S16" s="34"/>
    </row>
    <row r="17" spans="1:5" ht="15" customHeight="1" x14ac:dyDescent="0.25">
      <c r="A17" s="248" t="s">
        <v>382</v>
      </c>
      <c r="B17" s="248"/>
      <c r="C17" s="248"/>
      <c r="D17" s="248"/>
      <c r="E17" s="248"/>
    </row>
    <row r="18" spans="1:5" ht="16.8" x14ac:dyDescent="0.25">
      <c r="A18" s="244" t="s">
        <v>334</v>
      </c>
      <c r="B18" s="244"/>
      <c r="C18" s="244"/>
      <c r="D18" s="244"/>
      <c r="E18" s="244"/>
    </row>
    <row r="19" spans="1:5" x14ac:dyDescent="0.25">
      <c r="A19" s="160"/>
      <c r="B19" s="160"/>
      <c r="C19" s="160"/>
      <c r="D19" s="160"/>
      <c r="E19" s="160"/>
    </row>
    <row r="20" spans="1:5" x14ac:dyDescent="0.25">
      <c r="A20" s="244" t="str">
        <f>CONCATENATE(C11," [2]")</f>
        <v>«09» января 2025 года [2]</v>
      </c>
      <c r="B20" s="244"/>
      <c r="C20" s="244"/>
      <c r="D20" s="244"/>
      <c r="E20" s="160"/>
    </row>
    <row r="21" spans="1:5" x14ac:dyDescent="0.25">
      <c r="A21" s="160"/>
      <c r="B21" s="160"/>
      <c r="C21" s="160"/>
      <c r="D21" s="160"/>
      <c r="E21" s="160"/>
    </row>
    <row r="22" spans="1:5" x14ac:dyDescent="0.25">
      <c r="A22" s="160"/>
      <c r="B22" s="160"/>
      <c r="C22" s="160"/>
      <c r="D22" s="160"/>
      <c r="E22" s="160"/>
    </row>
    <row r="23" spans="1:5" x14ac:dyDescent="0.25">
      <c r="A23" s="160"/>
      <c r="B23" s="160"/>
      <c r="C23" s="160"/>
      <c r="D23" s="160"/>
      <c r="E23" s="160"/>
    </row>
    <row r="24" spans="1:5" x14ac:dyDescent="0.25">
      <c r="A24" s="160"/>
      <c r="B24" s="160"/>
      <c r="C24" s="160"/>
      <c r="D24" s="160"/>
      <c r="E24" s="160"/>
    </row>
    <row r="25" spans="1:5" x14ac:dyDescent="0.25">
      <c r="A25" s="160"/>
      <c r="B25" s="160"/>
      <c r="C25" s="160"/>
      <c r="D25" s="160"/>
      <c r="E25" s="160"/>
    </row>
    <row r="26" spans="1:5" x14ac:dyDescent="0.25">
      <c r="A26" s="248"/>
      <c r="B26" s="248"/>
      <c r="C26" s="248"/>
      <c r="D26" s="248"/>
      <c r="E26" s="248"/>
    </row>
    <row r="27" spans="1:5" ht="14.4" thickBot="1" x14ac:dyDescent="0.3">
      <c r="E27" s="35" t="s">
        <v>185</v>
      </c>
    </row>
    <row r="28" spans="1:5" ht="14.4" thickBot="1" x14ac:dyDescent="0.3">
      <c r="A28" s="162"/>
      <c r="B28" s="162"/>
      <c r="C28" s="162"/>
      <c r="D28" s="161" t="s">
        <v>186</v>
      </c>
      <c r="E28" s="44">
        <v>45666</v>
      </c>
    </row>
    <row r="29" spans="1:5" ht="14.4" thickBot="1" x14ac:dyDescent="0.3">
      <c r="A29" s="162"/>
      <c r="B29" s="162"/>
      <c r="C29" s="162"/>
      <c r="D29" s="163"/>
      <c r="E29" s="159"/>
    </row>
    <row r="30" spans="1:5" ht="14.4" thickBot="1" x14ac:dyDescent="0.3">
      <c r="A30" s="162"/>
      <c r="B30" s="162"/>
      <c r="C30" s="237" t="s">
        <v>187</v>
      </c>
      <c r="D30" s="238"/>
      <c r="E30" s="159"/>
    </row>
    <row r="31" spans="1:5" ht="14.4" thickBot="1" x14ac:dyDescent="0.3">
      <c r="A31" s="162"/>
      <c r="B31" s="162"/>
      <c r="C31" s="240"/>
      <c r="D31" s="243"/>
      <c r="E31" s="159"/>
    </row>
    <row r="32" spans="1:5" ht="14.4" thickBot="1" x14ac:dyDescent="0.3">
      <c r="A32" s="162"/>
      <c r="B32" s="162"/>
      <c r="C32" s="237" t="s">
        <v>188</v>
      </c>
      <c r="D32" s="238"/>
      <c r="E32" s="159">
        <v>906</v>
      </c>
    </row>
    <row r="33" spans="1:10" ht="30.75" customHeight="1" thickBot="1" x14ac:dyDescent="0.3">
      <c r="A33" s="240" t="s">
        <v>197</v>
      </c>
      <c r="B33" s="240"/>
      <c r="C33" s="237" t="s">
        <v>187</v>
      </c>
      <c r="D33" s="238"/>
      <c r="E33" s="246"/>
    </row>
    <row r="34" spans="1:10" ht="27" customHeight="1" thickBot="1" x14ac:dyDescent="0.3">
      <c r="A34" s="239" t="s">
        <v>335</v>
      </c>
      <c r="B34" s="239"/>
      <c r="C34" s="239"/>
      <c r="D34" s="249"/>
      <c r="E34" s="246"/>
    </row>
    <row r="35" spans="1:10" ht="14.4" thickBot="1" x14ac:dyDescent="0.3">
      <c r="A35" s="240"/>
      <c r="B35" s="240"/>
      <c r="C35" s="237"/>
      <c r="D35" s="238"/>
      <c r="E35" s="159"/>
    </row>
    <row r="36" spans="1:10" ht="14.4" thickBot="1" x14ac:dyDescent="0.3">
      <c r="A36" s="240"/>
      <c r="B36" s="240"/>
      <c r="C36" s="237" t="s">
        <v>189</v>
      </c>
      <c r="D36" s="238"/>
      <c r="E36" s="159">
        <v>6652021879</v>
      </c>
    </row>
    <row r="37" spans="1:10" ht="14.4" thickBot="1" x14ac:dyDescent="0.3">
      <c r="A37" s="240" t="s">
        <v>190</v>
      </c>
      <c r="B37" s="240"/>
      <c r="C37" s="240"/>
      <c r="D37" s="243"/>
      <c r="E37" s="246"/>
    </row>
    <row r="38" spans="1:10" ht="44.25" customHeight="1" thickBot="1" x14ac:dyDescent="0.35">
      <c r="A38" s="239" t="s">
        <v>336</v>
      </c>
      <c r="B38" s="239"/>
      <c r="C38" s="239"/>
      <c r="D38" s="249"/>
      <c r="E38" s="246"/>
      <c r="J38" s="43"/>
    </row>
    <row r="39" spans="1:10" ht="14.4" thickBot="1" x14ac:dyDescent="0.3">
      <c r="A39" s="162"/>
      <c r="B39" s="162"/>
      <c r="C39" s="237" t="s">
        <v>191</v>
      </c>
      <c r="D39" s="238"/>
      <c r="E39" s="159">
        <v>668501001</v>
      </c>
    </row>
    <row r="40" spans="1:10" ht="14.4" thickBot="1" x14ac:dyDescent="0.3">
      <c r="A40" s="162"/>
      <c r="B40" s="162"/>
      <c r="C40" s="237" t="s">
        <v>192</v>
      </c>
      <c r="D40" s="238"/>
      <c r="E40" s="37">
        <v>383</v>
      </c>
    </row>
    <row r="41" spans="1:10" ht="15.6" x14ac:dyDescent="0.25">
      <c r="A41" s="162" t="s">
        <v>193</v>
      </c>
      <c r="B41" s="162"/>
      <c r="C41" s="162"/>
      <c r="D41" s="162"/>
      <c r="E41" s="168"/>
    </row>
    <row r="44" spans="1:10" ht="15.6" x14ac:dyDescent="0.25">
      <c r="A44" s="26" t="s">
        <v>194</v>
      </c>
      <c r="B44" s="26"/>
      <c r="C44" s="26"/>
    </row>
    <row r="45" spans="1:10" ht="15.6" x14ac:dyDescent="0.25">
      <c r="A45" s="26" t="s">
        <v>195</v>
      </c>
      <c r="B45" s="26"/>
      <c r="C45" s="26"/>
    </row>
  </sheetData>
  <mergeCells count="30">
    <mergeCell ref="E37:E38"/>
    <mergeCell ref="C8:E8"/>
    <mergeCell ref="C11:E11"/>
    <mergeCell ref="A16:E16"/>
    <mergeCell ref="A17:E17"/>
    <mergeCell ref="A18:E18"/>
    <mergeCell ref="A26:E26"/>
    <mergeCell ref="A20:D20"/>
    <mergeCell ref="E33:E34"/>
    <mergeCell ref="C33:D33"/>
    <mergeCell ref="C34:D34"/>
    <mergeCell ref="C35:D35"/>
    <mergeCell ref="C36:D36"/>
    <mergeCell ref="C37:D37"/>
    <mergeCell ref="C38:D38"/>
    <mergeCell ref="B1:E1"/>
    <mergeCell ref="B2:E2"/>
    <mergeCell ref="C30:D30"/>
    <mergeCell ref="C31:D31"/>
    <mergeCell ref="C32:D32"/>
    <mergeCell ref="C5:E5"/>
    <mergeCell ref="B7:E7"/>
    <mergeCell ref="C39:D39"/>
    <mergeCell ref="C40:D40"/>
    <mergeCell ref="A38:B38"/>
    <mergeCell ref="A33:B33"/>
    <mergeCell ref="A34:B34"/>
    <mergeCell ref="A35:B35"/>
    <mergeCell ref="A36:B36"/>
    <mergeCell ref="A37:B37"/>
  </mergeCells>
  <pageMargins left="0.3" right="0.3" top="0.35" bottom="0.25" header="0.3" footer="0.3"/>
  <pageSetup paperSize="9" fitToHeight="0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F24"/>
  <sheetViews>
    <sheetView workbookViewId="0">
      <selection activeCell="J31" sqref="J31"/>
    </sheetView>
  </sheetViews>
  <sheetFormatPr defaultColWidth="9.109375" defaultRowHeight="13.2" x14ac:dyDescent="0.25"/>
  <cols>
    <col min="1" max="1" width="9.109375" style="62"/>
    <col min="2" max="2" width="25.88671875" style="62" customWidth="1"/>
    <col min="3" max="3" width="23" style="62" customWidth="1"/>
    <col min="4" max="4" width="17.5546875" style="62" customWidth="1"/>
    <col min="5" max="5" width="17.6640625" style="62" customWidth="1"/>
    <col min="6" max="16384" width="9.109375" style="62"/>
  </cols>
  <sheetData>
    <row r="1" spans="1:6" s="72" customFormat="1" ht="15.6" x14ac:dyDescent="0.3">
      <c r="C1" s="326" t="s">
        <v>182</v>
      </c>
      <c r="D1" s="326"/>
      <c r="E1" s="326"/>
      <c r="F1" s="156"/>
    </row>
    <row r="2" spans="1:6" s="72" customFormat="1" ht="49.5" customHeight="1" x14ac:dyDescent="0.3">
      <c r="C2" s="334" t="s">
        <v>381</v>
      </c>
      <c r="D2" s="334"/>
      <c r="E2" s="334"/>
      <c r="F2" s="143"/>
    </row>
    <row r="3" spans="1:6" s="72" customFormat="1" ht="15.6" x14ac:dyDescent="0.3">
      <c r="C3" s="335" t="s">
        <v>238</v>
      </c>
      <c r="D3" s="335"/>
      <c r="E3" s="335"/>
    </row>
    <row r="4" spans="1:6" s="72" customFormat="1" ht="15.6" x14ac:dyDescent="0.3">
      <c r="C4" s="144"/>
      <c r="D4" s="144"/>
      <c r="E4" s="144"/>
    </row>
    <row r="5" spans="1:6" s="72" customFormat="1" ht="15.6" x14ac:dyDescent="0.3">
      <c r="A5" s="312" t="s">
        <v>240</v>
      </c>
      <c r="B5" s="312"/>
      <c r="C5" s="312"/>
      <c r="D5" s="312"/>
      <c r="E5" s="312"/>
      <c r="F5" s="73"/>
    </row>
    <row r="6" spans="1:6" s="72" customFormat="1" ht="15.6" x14ac:dyDescent="0.3">
      <c r="A6" s="329">
        <v>45666</v>
      </c>
      <c r="B6" s="329"/>
      <c r="C6" s="329"/>
      <c r="D6" s="329"/>
      <c r="E6" s="329"/>
      <c r="F6" s="115"/>
    </row>
    <row r="7" spans="1:6" s="72" customFormat="1" ht="15.6" x14ac:dyDescent="0.3"/>
    <row r="8" spans="1:6" s="72" customFormat="1" ht="15.6" x14ac:dyDescent="0.3">
      <c r="B8" s="328" t="s">
        <v>132</v>
      </c>
      <c r="C8" s="328"/>
      <c r="D8" s="328"/>
      <c r="E8" s="328"/>
    </row>
    <row r="9" spans="1:6" s="72" customFormat="1" ht="15.6" x14ac:dyDescent="0.3">
      <c r="B9" s="312" t="s">
        <v>344</v>
      </c>
      <c r="C9" s="312"/>
      <c r="D9" s="312"/>
      <c r="E9" s="312"/>
    </row>
    <row r="10" spans="1:6" s="72" customFormat="1" ht="15.6" x14ac:dyDescent="0.3">
      <c r="B10" s="311" t="s">
        <v>289</v>
      </c>
      <c r="C10" s="311"/>
      <c r="D10" s="311"/>
      <c r="E10" s="311"/>
    </row>
    <row r="11" spans="1:6" ht="16.5" customHeight="1" x14ac:dyDescent="0.25"/>
    <row r="12" spans="1:6" x14ac:dyDescent="0.25">
      <c r="A12" s="313" t="s">
        <v>71</v>
      </c>
      <c r="B12" s="313" t="s">
        <v>113</v>
      </c>
      <c r="C12" s="313" t="s">
        <v>126</v>
      </c>
      <c r="D12" s="22" t="s">
        <v>127</v>
      </c>
      <c r="E12" s="22" t="s">
        <v>120</v>
      </c>
    </row>
    <row r="13" spans="1:6" ht="21.75" customHeight="1" x14ac:dyDescent="0.25">
      <c r="A13" s="313"/>
      <c r="B13" s="313"/>
      <c r="C13" s="313"/>
      <c r="D13" s="23" t="s">
        <v>128</v>
      </c>
      <c r="E13" s="23" t="s">
        <v>129</v>
      </c>
    </row>
    <row r="14" spans="1:6" x14ac:dyDescent="0.25">
      <c r="A14" s="141">
        <v>1</v>
      </c>
      <c r="B14" s="141">
        <v>2</v>
      </c>
      <c r="C14" s="141">
        <v>3</v>
      </c>
      <c r="D14" s="141">
        <v>4</v>
      </c>
      <c r="E14" s="141">
        <v>5</v>
      </c>
    </row>
    <row r="15" spans="1:6" ht="15" customHeight="1" x14ac:dyDescent="0.25">
      <c r="A15" s="331" t="s">
        <v>232</v>
      </c>
      <c r="B15" s="332"/>
      <c r="C15" s="332"/>
      <c r="D15" s="333"/>
      <c r="E15" s="154">
        <f>E17</f>
        <v>8503000</v>
      </c>
    </row>
    <row r="16" spans="1:6" ht="15" customHeight="1" x14ac:dyDescent="0.25">
      <c r="A16" s="141">
        <v>1</v>
      </c>
      <c r="B16" s="150" t="s">
        <v>212</v>
      </c>
      <c r="C16" s="12">
        <v>28153000</v>
      </c>
      <c r="D16" s="157">
        <f>E16/C16</f>
        <v>0.30202820303342448</v>
      </c>
      <c r="E16" s="12">
        <v>8503000</v>
      </c>
    </row>
    <row r="17" spans="1:5" ht="15" hidden="1" customHeight="1" x14ac:dyDescent="0.25">
      <c r="A17" s="13"/>
      <c r="B17" s="13" t="s">
        <v>112</v>
      </c>
      <c r="C17" s="12">
        <f>SUM(C16:C16)</f>
        <v>28153000</v>
      </c>
      <c r="D17" s="157">
        <f>SUM(D16:D16)</f>
        <v>0.30202820303342448</v>
      </c>
      <c r="E17" s="12">
        <f>SUM(E16:E16)</f>
        <v>8503000</v>
      </c>
    </row>
    <row r="18" spans="1:5" ht="15" customHeight="1" x14ac:dyDescent="0.25">
      <c r="A18" s="331" t="s">
        <v>232</v>
      </c>
      <c r="B18" s="332"/>
      <c r="C18" s="332"/>
      <c r="D18" s="333"/>
      <c r="E18" s="154">
        <f>SUM(E19:E19)</f>
        <v>8503000</v>
      </c>
    </row>
    <row r="19" spans="1:5" ht="15" customHeight="1" x14ac:dyDescent="0.25">
      <c r="A19" s="141">
        <v>1</v>
      </c>
      <c r="B19" s="150" t="s">
        <v>212</v>
      </c>
      <c r="C19" s="12">
        <v>28153000</v>
      </c>
      <c r="D19" s="157">
        <v>0.30199999999999999</v>
      </c>
      <c r="E19" s="12">
        <v>8503000</v>
      </c>
    </row>
    <row r="20" spans="1:5" ht="15" customHeight="1" x14ac:dyDescent="0.25">
      <c r="A20" s="331" t="s">
        <v>234</v>
      </c>
      <c r="B20" s="332"/>
      <c r="C20" s="332"/>
      <c r="D20" s="333"/>
      <c r="E20" s="154">
        <f>E18-E15</f>
        <v>0</v>
      </c>
    </row>
    <row r="24" spans="1:5" x14ac:dyDescent="0.25">
      <c r="C24" s="155"/>
      <c r="E24" s="155"/>
    </row>
  </sheetData>
  <mergeCells count="14">
    <mergeCell ref="C1:E1"/>
    <mergeCell ref="C2:E2"/>
    <mergeCell ref="A20:D20"/>
    <mergeCell ref="A12:A13"/>
    <mergeCell ref="B12:B13"/>
    <mergeCell ref="C12:C13"/>
    <mergeCell ref="B8:E8"/>
    <mergeCell ref="B10:E10"/>
    <mergeCell ref="B9:E9"/>
    <mergeCell ref="A5:E5"/>
    <mergeCell ref="A6:E6"/>
    <mergeCell ref="C3:E3"/>
    <mergeCell ref="A15:D15"/>
    <mergeCell ref="A18:D18"/>
  </mergeCells>
  <pageMargins left="0.17" right="0.17" top="0.75" bottom="0.28999999999999998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P34"/>
  <sheetViews>
    <sheetView zoomScale="80" zoomScaleNormal="80" workbookViewId="0">
      <selection activeCell="F15" sqref="F15"/>
    </sheetView>
  </sheetViews>
  <sheetFormatPr defaultRowHeight="14.4" x14ac:dyDescent="0.3"/>
  <cols>
    <col min="2" max="2" width="25.88671875" customWidth="1"/>
    <col min="3" max="3" width="12.33203125" customWidth="1"/>
    <col min="4" max="4" width="17.5546875" customWidth="1"/>
    <col min="5" max="5" width="17.6640625" customWidth="1"/>
    <col min="6" max="6" width="17" customWidth="1"/>
    <col min="8" max="8" width="10.5546875" bestFit="1" customWidth="1"/>
  </cols>
  <sheetData>
    <row r="1" spans="1:16" ht="15" customHeight="1" x14ac:dyDescent="0.3">
      <c r="C1" s="314" t="s">
        <v>182</v>
      </c>
      <c r="D1" s="314"/>
      <c r="E1" s="314"/>
      <c r="F1" s="314"/>
      <c r="L1" s="1"/>
      <c r="M1" s="1"/>
      <c r="N1" s="1"/>
    </row>
    <row r="2" spans="1:16" ht="49.5" customHeight="1" x14ac:dyDescent="0.3">
      <c r="C2" s="334" t="s">
        <v>381</v>
      </c>
      <c r="D2" s="334"/>
      <c r="E2" s="334"/>
      <c r="F2" s="334"/>
      <c r="L2" s="1"/>
      <c r="M2" s="1"/>
      <c r="N2" s="1"/>
    </row>
    <row r="3" spans="1:16" ht="15.6" x14ac:dyDescent="0.3">
      <c r="C3" s="335" t="s">
        <v>238</v>
      </c>
      <c r="D3" s="335"/>
      <c r="E3" s="335"/>
      <c r="F3" s="335"/>
      <c r="L3" s="1"/>
      <c r="M3" s="1"/>
      <c r="N3" s="1"/>
      <c r="O3" s="1"/>
      <c r="P3" s="1"/>
    </row>
    <row r="4" spans="1:16" ht="15.6" x14ac:dyDescent="0.3">
      <c r="C4" s="144"/>
      <c r="D4" s="144"/>
      <c r="E4" s="144"/>
      <c r="F4" s="72"/>
      <c r="L4" s="1"/>
      <c r="M4" s="1"/>
      <c r="N4" s="1"/>
      <c r="O4" s="1"/>
      <c r="P4" s="1"/>
    </row>
    <row r="5" spans="1:16" ht="15.6" x14ac:dyDescent="0.3">
      <c r="A5" s="312" t="s">
        <v>240</v>
      </c>
      <c r="B5" s="312"/>
      <c r="C5" s="312"/>
      <c r="D5" s="312"/>
      <c r="E5" s="312"/>
      <c r="F5" s="312"/>
      <c r="L5" s="1"/>
      <c r="M5" s="1"/>
      <c r="N5" s="1"/>
      <c r="O5" s="1"/>
      <c r="P5" s="1"/>
    </row>
    <row r="6" spans="1:16" ht="15.6" x14ac:dyDescent="0.3">
      <c r="A6" s="329">
        <v>45666</v>
      </c>
      <c r="B6" s="329"/>
      <c r="C6" s="329"/>
      <c r="D6" s="329"/>
      <c r="E6" s="329"/>
      <c r="F6" s="329"/>
      <c r="L6" s="1"/>
      <c r="M6" s="1"/>
      <c r="N6" s="1"/>
      <c r="O6" s="1"/>
      <c r="P6" s="1"/>
    </row>
    <row r="7" spans="1:16" ht="15.6" x14ac:dyDescent="0.3">
      <c r="A7" s="142"/>
      <c r="B7" s="142"/>
      <c r="C7" s="142"/>
      <c r="D7" s="142"/>
      <c r="E7" s="142"/>
      <c r="F7" s="142"/>
      <c r="L7" s="1"/>
      <c r="M7" s="1"/>
      <c r="N7" s="1"/>
      <c r="O7" s="1"/>
      <c r="P7" s="1"/>
    </row>
    <row r="8" spans="1:16" ht="17.399999999999999" x14ac:dyDescent="0.3">
      <c r="A8" s="316" t="s">
        <v>146</v>
      </c>
      <c r="B8" s="316"/>
      <c r="C8" s="316"/>
      <c r="D8" s="316"/>
      <c r="E8" s="316"/>
      <c r="F8" s="316"/>
      <c r="P8" s="1"/>
    </row>
    <row r="9" spans="1:16" s="72" customFormat="1" ht="15.6" x14ac:dyDescent="0.3">
      <c r="A9" s="345" t="s">
        <v>344</v>
      </c>
      <c r="B9" s="345"/>
      <c r="C9" s="345"/>
      <c r="D9" s="345"/>
      <c r="E9" s="345"/>
      <c r="F9" s="345"/>
      <c r="G9" s="73"/>
    </row>
    <row r="10" spans="1:16" s="74" customFormat="1" ht="15.6" x14ac:dyDescent="0.3">
      <c r="A10" s="346" t="s">
        <v>383</v>
      </c>
      <c r="B10" s="346"/>
      <c r="C10" s="346"/>
      <c r="D10" s="346"/>
      <c r="E10" s="346"/>
      <c r="F10" s="346"/>
    </row>
    <row r="11" spans="1:16" ht="16.5" customHeight="1" x14ac:dyDescent="0.3"/>
    <row r="12" spans="1:16" x14ac:dyDescent="0.3">
      <c r="A12" s="126" t="s">
        <v>140</v>
      </c>
      <c r="B12" s="126" t="s">
        <v>147</v>
      </c>
      <c r="C12" s="126" t="s">
        <v>149</v>
      </c>
      <c r="D12" s="126" t="s">
        <v>116</v>
      </c>
      <c r="E12" s="126" t="s">
        <v>152</v>
      </c>
      <c r="F12" s="126" t="s">
        <v>120</v>
      </c>
    </row>
    <row r="13" spans="1:16" x14ac:dyDescent="0.3">
      <c r="A13" s="127" t="s">
        <v>141</v>
      </c>
      <c r="B13" s="127" t="s">
        <v>148</v>
      </c>
      <c r="C13" s="127" t="s">
        <v>150</v>
      </c>
      <c r="D13" s="127" t="s">
        <v>151</v>
      </c>
      <c r="E13" s="127" t="s">
        <v>142</v>
      </c>
      <c r="F13" s="127" t="s">
        <v>153</v>
      </c>
    </row>
    <row r="14" spans="1:16" x14ac:dyDescent="0.3">
      <c r="A14" s="127">
        <v>1</v>
      </c>
      <c r="B14" s="127">
        <v>2</v>
      </c>
      <c r="C14" s="127">
        <v>3</v>
      </c>
      <c r="D14" s="127">
        <v>4</v>
      </c>
      <c r="E14" s="127">
        <v>5</v>
      </c>
      <c r="F14" s="20">
        <v>6</v>
      </c>
      <c r="K14" s="21"/>
    </row>
    <row r="15" spans="1:16" x14ac:dyDescent="0.3">
      <c r="A15" s="127"/>
      <c r="B15" s="342" t="s">
        <v>232</v>
      </c>
      <c r="C15" s="343"/>
      <c r="D15" s="343"/>
      <c r="E15" s="344"/>
      <c r="F15" s="114">
        <f>F24</f>
        <v>870000.00219999999</v>
      </c>
    </row>
    <row r="16" spans="1:16" ht="26.4" x14ac:dyDescent="0.3">
      <c r="A16" s="197">
        <v>1</v>
      </c>
      <c r="B16" s="150" t="s">
        <v>414</v>
      </c>
      <c r="C16" s="151" t="s">
        <v>213</v>
      </c>
      <c r="D16" s="215">
        <f>F16/E16</f>
        <v>619.35981495188742</v>
      </c>
      <c r="E16" s="216">
        <v>27.02</v>
      </c>
      <c r="F16" s="217">
        <v>16735.102199999998</v>
      </c>
    </row>
    <row r="17" spans="1:8" ht="26.4" x14ac:dyDescent="0.3">
      <c r="A17" s="197">
        <v>2</v>
      </c>
      <c r="B17" s="150" t="s">
        <v>404</v>
      </c>
      <c r="C17" s="151" t="s">
        <v>213</v>
      </c>
      <c r="D17" s="215">
        <f t="shared" ref="D17:D21" si="0">F17/E17</f>
        <v>556.18706842435654</v>
      </c>
      <c r="E17" s="216">
        <v>31.86</v>
      </c>
      <c r="F17" s="217">
        <v>17720.12</v>
      </c>
    </row>
    <row r="18" spans="1:8" ht="39.6" x14ac:dyDescent="0.3">
      <c r="A18" s="197">
        <v>3</v>
      </c>
      <c r="B18" s="150" t="s">
        <v>405</v>
      </c>
      <c r="C18" s="151" t="s">
        <v>213</v>
      </c>
      <c r="D18" s="215">
        <f t="shared" si="0"/>
        <v>596.75328816261458</v>
      </c>
      <c r="E18" s="216">
        <v>25.09</v>
      </c>
      <c r="F18" s="217">
        <v>14972.54</v>
      </c>
    </row>
    <row r="19" spans="1:8" ht="26.4" x14ac:dyDescent="0.3">
      <c r="A19" s="197">
        <v>4</v>
      </c>
      <c r="B19" s="150" t="s">
        <v>406</v>
      </c>
      <c r="C19" s="151" t="s">
        <v>213</v>
      </c>
      <c r="D19" s="215">
        <f t="shared" si="0"/>
        <v>561.91821561338293</v>
      </c>
      <c r="E19" s="216">
        <v>29.59</v>
      </c>
      <c r="F19" s="217">
        <v>16627.16</v>
      </c>
    </row>
    <row r="20" spans="1:8" ht="26.4" x14ac:dyDescent="0.3">
      <c r="A20" s="197">
        <v>5</v>
      </c>
      <c r="B20" s="150" t="s">
        <v>384</v>
      </c>
      <c r="C20" s="151" t="s">
        <v>385</v>
      </c>
      <c r="D20" s="215">
        <f t="shared" si="0"/>
        <v>154.12832724526442</v>
      </c>
      <c r="E20" s="216">
        <v>1946.43</v>
      </c>
      <c r="F20" s="217">
        <v>300000</v>
      </c>
      <c r="H20" s="77"/>
    </row>
    <row r="21" spans="1:8" ht="26.4" x14ac:dyDescent="0.3">
      <c r="A21" s="197">
        <v>6</v>
      </c>
      <c r="B21" s="150" t="s">
        <v>386</v>
      </c>
      <c r="C21" s="151" t="s">
        <v>385</v>
      </c>
      <c r="D21" s="215">
        <f t="shared" si="0"/>
        <v>128.42025958015137</v>
      </c>
      <c r="E21" s="152">
        <v>2336.08</v>
      </c>
      <c r="F21" s="12">
        <v>300000</v>
      </c>
      <c r="H21" s="77"/>
    </row>
    <row r="22" spans="1:8" x14ac:dyDescent="0.3">
      <c r="A22" s="197">
        <v>7</v>
      </c>
      <c r="B22" s="150" t="s">
        <v>387</v>
      </c>
      <c r="C22" s="151" t="s">
        <v>388</v>
      </c>
      <c r="D22" s="218">
        <f>F22/E22</f>
        <v>29069.767441860466</v>
      </c>
      <c r="E22" s="216">
        <v>6.88</v>
      </c>
      <c r="F22" s="12">
        <v>200000</v>
      </c>
      <c r="H22" s="77"/>
    </row>
    <row r="23" spans="1:8" x14ac:dyDescent="0.3">
      <c r="A23" s="197">
        <v>8</v>
      </c>
      <c r="B23" s="150" t="s">
        <v>218</v>
      </c>
      <c r="C23" s="151"/>
      <c r="D23" s="218"/>
      <c r="E23" s="216"/>
      <c r="F23" s="12">
        <v>3945.08</v>
      </c>
    </row>
    <row r="24" spans="1:8" hidden="1" x14ac:dyDescent="0.3">
      <c r="A24" s="7"/>
      <c r="B24" s="7" t="s">
        <v>112</v>
      </c>
      <c r="C24" s="14"/>
      <c r="D24" s="78">
        <f t="shared" ref="D24" si="1">F24/E24</f>
        <v>197.59479489887462</v>
      </c>
      <c r="E24" s="8">
        <f>SUM(E16:E23)</f>
        <v>4402.95</v>
      </c>
      <c r="F24" s="8">
        <f>SUM(F16:F23)</f>
        <v>870000.00219999999</v>
      </c>
    </row>
    <row r="25" spans="1:8" x14ac:dyDescent="0.3">
      <c r="A25" s="127"/>
      <c r="B25" s="342" t="s">
        <v>233</v>
      </c>
      <c r="C25" s="343"/>
      <c r="D25" s="343"/>
      <c r="E25" s="344"/>
      <c r="F25" s="114">
        <f>SUM(F26:F33)</f>
        <v>870000.00219999999</v>
      </c>
    </row>
    <row r="26" spans="1:8" ht="26.4" x14ac:dyDescent="0.3">
      <c r="A26" s="197">
        <v>1</v>
      </c>
      <c r="B26" s="150" t="s">
        <v>414</v>
      </c>
      <c r="C26" s="151" t="s">
        <v>213</v>
      </c>
      <c r="D26" s="215">
        <f>F26/E26</f>
        <v>619.35981495188742</v>
      </c>
      <c r="E26" s="216">
        <v>27.02</v>
      </c>
      <c r="F26" s="217">
        <v>16735.102199999998</v>
      </c>
    </row>
    <row r="27" spans="1:8" ht="26.4" x14ac:dyDescent="0.3">
      <c r="A27" s="197">
        <v>2</v>
      </c>
      <c r="B27" s="150" t="s">
        <v>404</v>
      </c>
      <c r="C27" s="151" t="s">
        <v>213</v>
      </c>
      <c r="D27" s="215">
        <f t="shared" ref="D27:D31" si="2">F27/E27</f>
        <v>556.18706842435654</v>
      </c>
      <c r="E27" s="216">
        <v>31.86</v>
      </c>
      <c r="F27" s="217">
        <v>17720.12</v>
      </c>
    </row>
    <row r="28" spans="1:8" ht="39.6" x14ac:dyDescent="0.3">
      <c r="A28" s="197">
        <v>3</v>
      </c>
      <c r="B28" s="150" t="s">
        <v>405</v>
      </c>
      <c r="C28" s="151" t="s">
        <v>213</v>
      </c>
      <c r="D28" s="215">
        <f t="shared" si="2"/>
        <v>596.75328816261458</v>
      </c>
      <c r="E28" s="216">
        <v>25.09</v>
      </c>
      <c r="F28" s="217">
        <v>14972.54</v>
      </c>
    </row>
    <row r="29" spans="1:8" ht="26.4" x14ac:dyDescent="0.3">
      <c r="A29" s="197">
        <v>4</v>
      </c>
      <c r="B29" s="150" t="s">
        <v>406</v>
      </c>
      <c r="C29" s="151" t="s">
        <v>213</v>
      </c>
      <c r="D29" s="215">
        <f t="shared" si="2"/>
        <v>561.91821561338293</v>
      </c>
      <c r="E29" s="216">
        <v>29.59</v>
      </c>
      <c r="F29" s="217">
        <v>16627.16</v>
      </c>
    </row>
    <row r="30" spans="1:8" ht="26.4" x14ac:dyDescent="0.3">
      <c r="A30" s="197">
        <v>5</v>
      </c>
      <c r="B30" s="150" t="s">
        <v>384</v>
      </c>
      <c r="C30" s="151" t="s">
        <v>385</v>
      </c>
      <c r="D30" s="215">
        <f t="shared" si="2"/>
        <v>154.12832724526442</v>
      </c>
      <c r="E30" s="216">
        <v>1946.43</v>
      </c>
      <c r="F30" s="217">
        <v>300000</v>
      </c>
    </row>
    <row r="31" spans="1:8" ht="26.4" x14ac:dyDescent="0.3">
      <c r="A31" s="197">
        <v>6</v>
      </c>
      <c r="B31" s="150" t="s">
        <v>386</v>
      </c>
      <c r="C31" s="151" t="s">
        <v>385</v>
      </c>
      <c r="D31" s="215">
        <f t="shared" si="2"/>
        <v>128.42025958015137</v>
      </c>
      <c r="E31" s="152">
        <v>2336.08</v>
      </c>
      <c r="F31" s="12">
        <v>300000</v>
      </c>
    </row>
    <row r="32" spans="1:8" x14ac:dyDescent="0.3">
      <c r="A32" s="197">
        <v>7</v>
      </c>
      <c r="B32" s="150" t="s">
        <v>387</v>
      </c>
      <c r="C32" s="151" t="s">
        <v>388</v>
      </c>
      <c r="D32" s="218">
        <f>F32/E32</f>
        <v>29069.767441860466</v>
      </c>
      <c r="E32" s="216">
        <v>6.88</v>
      </c>
      <c r="F32" s="12">
        <v>200000</v>
      </c>
    </row>
    <row r="33" spans="1:6" x14ac:dyDescent="0.3">
      <c r="A33" s="197">
        <v>8</v>
      </c>
      <c r="B33" s="150" t="s">
        <v>218</v>
      </c>
      <c r="C33" s="151"/>
      <c r="D33" s="218"/>
      <c r="E33" s="216"/>
      <c r="F33" s="12">
        <v>3945.08</v>
      </c>
    </row>
    <row r="34" spans="1:6" x14ac:dyDescent="0.3">
      <c r="A34" s="7"/>
      <c r="B34" s="342" t="s">
        <v>234</v>
      </c>
      <c r="C34" s="343"/>
      <c r="D34" s="343"/>
      <c r="E34" s="344"/>
      <c r="F34" s="128">
        <f>F25-F15</f>
        <v>0</v>
      </c>
    </row>
  </sheetData>
  <mergeCells count="11">
    <mergeCell ref="B25:E25"/>
    <mergeCell ref="B34:E34"/>
    <mergeCell ref="A6:F6"/>
    <mergeCell ref="A8:F8"/>
    <mergeCell ref="A9:F9"/>
    <mergeCell ref="A10:F10"/>
    <mergeCell ref="A5:F5"/>
    <mergeCell ref="C1:F1"/>
    <mergeCell ref="C2:F2"/>
    <mergeCell ref="C3:F3"/>
    <mergeCell ref="B15:E15"/>
  </mergeCells>
  <pageMargins left="0.25" right="0.17" top="0.19" bottom="0.19" header="0.3" footer="0.19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A1:P24"/>
  <sheetViews>
    <sheetView zoomScaleNormal="100" workbookViewId="0">
      <selection activeCell="F40" sqref="F40"/>
    </sheetView>
  </sheetViews>
  <sheetFormatPr defaultRowHeight="14.4" x14ac:dyDescent="0.3"/>
  <cols>
    <col min="2" max="2" width="25.88671875" customWidth="1"/>
    <col min="3" max="3" width="12.33203125" customWidth="1"/>
    <col min="4" max="4" width="17.5546875" customWidth="1"/>
    <col min="5" max="5" width="17.6640625" customWidth="1"/>
    <col min="6" max="6" width="17" customWidth="1"/>
    <col min="8" max="8" width="10.5546875" bestFit="1" customWidth="1"/>
  </cols>
  <sheetData>
    <row r="1" spans="1:16" ht="15" customHeight="1" x14ac:dyDescent="0.3">
      <c r="C1" s="314" t="s">
        <v>182</v>
      </c>
      <c r="D1" s="314"/>
      <c r="E1" s="314"/>
      <c r="F1" s="314"/>
      <c r="L1" s="1"/>
      <c r="M1" s="1"/>
      <c r="N1" s="1"/>
    </row>
    <row r="2" spans="1:16" ht="42" customHeight="1" x14ac:dyDescent="0.3">
      <c r="C2" s="334" t="s">
        <v>381</v>
      </c>
      <c r="D2" s="334"/>
      <c r="E2" s="334"/>
      <c r="F2" s="334"/>
      <c r="L2" s="1"/>
      <c r="M2" s="1"/>
      <c r="N2" s="1"/>
    </row>
    <row r="3" spans="1:16" ht="15.6" x14ac:dyDescent="0.3">
      <c r="C3" s="335" t="s">
        <v>238</v>
      </c>
      <c r="D3" s="335"/>
      <c r="E3" s="335"/>
      <c r="F3" s="335"/>
      <c r="L3" s="1"/>
      <c r="M3" s="1"/>
      <c r="N3" s="1"/>
      <c r="O3" s="1"/>
      <c r="P3" s="1"/>
    </row>
    <row r="4" spans="1:16" ht="15.6" x14ac:dyDescent="0.3">
      <c r="C4" s="200"/>
      <c r="D4" s="200"/>
      <c r="E4" s="200"/>
      <c r="F4" s="199"/>
      <c r="L4" s="1"/>
      <c r="M4" s="1"/>
      <c r="N4" s="1"/>
      <c r="O4" s="1"/>
      <c r="P4" s="1"/>
    </row>
    <row r="5" spans="1:16" ht="15.6" x14ac:dyDescent="0.3">
      <c r="A5" s="312" t="s">
        <v>240</v>
      </c>
      <c r="B5" s="312"/>
      <c r="C5" s="312"/>
      <c r="D5" s="312"/>
      <c r="E5" s="312"/>
      <c r="F5" s="312"/>
      <c r="L5" s="1"/>
      <c r="M5" s="1"/>
      <c r="N5" s="1"/>
      <c r="O5" s="1"/>
      <c r="P5" s="1"/>
    </row>
    <row r="6" spans="1:16" ht="15.6" x14ac:dyDescent="0.3">
      <c r="A6" s="329">
        <v>45666</v>
      </c>
      <c r="B6" s="329"/>
      <c r="C6" s="329"/>
      <c r="D6" s="329"/>
      <c r="E6" s="329"/>
      <c r="F6" s="329"/>
      <c r="L6" s="1"/>
      <c r="M6" s="1"/>
      <c r="N6" s="1"/>
      <c r="O6" s="1"/>
      <c r="P6" s="1"/>
    </row>
    <row r="7" spans="1:16" ht="15.6" x14ac:dyDescent="0.3">
      <c r="A7" s="198"/>
      <c r="B7" s="198"/>
      <c r="C7" s="198"/>
      <c r="D7" s="198"/>
      <c r="E7" s="198"/>
      <c r="F7" s="198"/>
      <c r="L7" s="1"/>
      <c r="M7" s="1"/>
      <c r="N7" s="1"/>
      <c r="O7" s="1"/>
      <c r="P7" s="1"/>
    </row>
    <row r="8" spans="1:16" s="25" customFormat="1" ht="13.8" x14ac:dyDescent="0.25">
      <c r="A8" s="349" t="s">
        <v>415</v>
      </c>
      <c r="B8" s="349"/>
      <c r="C8" s="349"/>
      <c r="D8" s="349"/>
      <c r="E8" s="349"/>
      <c r="F8" s="349"/>
      <c r="G8" s="219"/>
    </row>
    <row r="9" spans="1:16" s="25" customFormat="1" ht="13.8" x14ac:dyDescent="0.25">
      <c r="A9" s="345" t="s">
        <v>344</v>
      </c>
      <c r="B9" s="345"/>
      <c r="C9" s="345"/>
      <c r="D9" s="345"/>
      <c r="E9" s="345"/>
      <c r="F9" s="345"/>
      <c r="G9" s="203"/>
    </row>
    <row r="10" spans="1:16" s="25" customFormat="1" ht="13.8" x14ac:dyDescent="0.25">
      <c r="A10" s="346" t="s">
        <v>416</v>
      </c>
      <c r="B10" s="346"/>
      <c r="C10" s="346"/>
      <c r="D10" s="346"/>
      <c r="E10" s="346"/>
      <c r="F10" s="346"/>
      <c r="G10" s="204"/>
    </row>
    <row r="11" spans="1:16" s="25" customFormat="1" ht="13.8" x14ac:dyDescent="0.25"/>
    <row r="12" spans="1:16" s="25" customFormat="1" ht="13.8" x14ac:dyDescent="0.25">
      <c r="A12" s="220" t="s">
        <v>140</v>
      </c>
      <c r="B12" s="348" t="s">
        <v>360</v>
      </c>
      <c r="C12" s="348" t="s">
        <v>417</v>
      </c>
      <c r="D12" s="348" t="s">
        <v>418</v>
      </c>
      <c r="E12" s="348" t="s">
        <v>419</v>
      </c>
      <c r="F12" s="220" t="s">
        <v>76</v>
      </c>
    </row>
    <row r="13" spans="1:16" s="25" customFormat="1" ht="13.8" x14ac:dyDescent="0.25">
      <c r="A13" s="221" t="s">
        <v>141</v>
      </c>
      <c r="B13" s="348"/>
      <c r="C13" s="348"/>
      <c r="D13" s="348"/>
      <c r="E13" s="348"/>
      <c r="F13" s="221" t="s">
        <v>142</v>
      </c>
    </row>
    <row r="14" spans="1:16" s="25" customFormat="1" ht="13.8" x14ac:dyDescent="0.25">
      <c r="A14" s="229">
        <v>1</v>
      </c>
      <c r="B14" s="229">
        <v>2</v>
      </c>
      <c r="C14" s="229">
        <v>3</v>
      </c>
      <c r="D14" s="229">
        <v>4</v>
      </c>
      <c r="E14" s="229">
        <v>5</v>
      </c>
      <c r="F14" s="230">
        <v>6</v>
      </c>
    </row>
    <row r="15" spans="1:16" x14ac:dyDescent="0.3">
      <c r="A15" s="195"/>
      <c r="B15" s="347" t="s">
        <v>232</v>
      </c>
      <c r="C15" s="347"/>
      <c r="D15" s="347"/>
      <c r="E15" s="347"/>
      <c r="F15" s="206">
        <f>F19</f>
        <v>75048</v>
      </c>
    </row>
    <row r="16" spans="1:16" s="62" customFormat="1" ht="13.2" x14ac:dyDescent="0.25">
      <c r="A16" s="197">
        <v>1</v>
      </c>
      <c r="B16" s="222" t="s">
        <v>420</v>
      </c>
      <c r="C16" s="223">
        <v>1</v>
      </c>
      <c r="D16" s="223">
        <v>12</v>
      </c>
      <c r="E16" s="224">
        <f>F16/D16/C16</f>
        <v>400</v>
      </c>
      <c r="F16" s="225">
        <v>4800</v>
      </c>
    </row>
    <row r="17" spans="1:10" s="62" customFormat="1" ht="13.2" x14ac:dyDescent="0.25">
      <c r="A17" s="197">
        <v>2</v>
      </c>
      <c r="B17" s="222" t="s">
        <v>420</v>
      </c>
      <c r="C17" s="197">
        <v>2</v>
      </c>
      <c r="D17" s="197">
        <v>12</v>
      </c>
      <c r="E17" s="224">
        <f t="shared" ref="E17:E18" si="0">F17/D17/C17</f>
        <v>452</v>
      </c>
      <c r="F17" s="226">
        <v>10848</v>
      </c>
      <c r="J17" s="227"/>
    </row>
    <row r="18" spans="1:10" s="62" customFormat="1" ht="13.2" x14ac:dyDescent="0.25">
      <c r="A18" s="197">
        <v>3</v>
      </c>
      <c r="B18" s="228" t="s">
        <v>421</v>
      </c>
      <c r="C18" s="223">
        <v>3</v>
      </c>
      <c r="D18" s="223">
        <v>12</v>
      </c>
      <c r="E18" s="224">
        <f t="shared" si="0"/>
        <v>1650</v>
      </c>
      <c r="F18" s="225">
        <v>59400</v>
      </c>
      <c r="J18" s="227"/>
    </row>
    <row r="19" spans="1:10" hidden="1" x14ac:dyDescent="0.3">
      <c r="A19" s="7"/>
      <c r="B19" s="7" t="s">
        <v>112</v>
      </c>
      <c r="C19" s="14"/>
      <c r="D19" s="78">
        <f t="shared" ref="D19" si="1">F19/E19</f>
        <v>35.703139866793528</v>
      </c>
      <c r="E19" s="8">
        <f>SUM(E17:E18)</f>
        <v>2102</v>
      </c>
      <c r="F19" s="8">
        <f>SUM(F16:F18)</f>
        <v>75048</v>
      </c>
    </row>
    <row r="20" spans="1:10" x14ac:dyDescent="0.3">
      <c r="A20" s="195"/>
      <c r="B20" s="347" t="s">
        <v>233</v>
      </c>
      <c r="C20" s="347"/>
      <c r="D20" s="347"/>
      <c r="E20" s="347"/>
      <c r="F20" s="206">
        <f>SUM(F21:F23)</f>
        <v>75048</v>
      </c>
    </row>
    <row r="21" spans="1:10" s="62" customFormat="1" ht="13.2" x14ac:dyDescent="0.25">
      <c r="A21" s="197">
        <v>1</v>
      </c>
      <c r="B21" s="222" t="s">
        <v>420</v>
      </c>
      <c r="C21" s="223">
        <v>1</v>
      </c>
      <c r="D21" s="223">
        <v>12</v>
      </c>
      <c r="E21" s="224">
        <f>F21/D21/C21</f>
        <v>400</v>
      </c>
      <c r="F21" s="225">
        <v>4800</v>
      </c>
    </row>
    <row r="22" spans="1:10" s="62" customFormat="1" ht="13.2" x14ac:dyDescent="0.25">
      <c r="A22" s="197">
        <v>2</v>
      </c>
      <c r="B22" s="222" t="s">
        <v>420</v>
      </c>
      <c r="C22" s="197">
        <v>2</v>
      </c>
      <c r="D22" s="197">
        <v>12</v>
      </c>
      <c r="E22" s="224">
        <f t="shared" ref="E22:E23" si="2">F22/D22/C22</f>
        <v>452</v>
      </c>
      <c r="F22" s="226">
        <v>10848</v>
      </c>
      <c r="J22" s="227"/>
    </row>
    <row r="23" spans="1:10" s="62" customFormat="1" ht="13.2" x14ac:dyDescent="0.25">
      <c r="A23" s="197">
        <v>3</v>
      </c>
      <c r="B23" s="228" t="s">
        <v>421</v>
      </c>
      <c r="C23" s="223">
        <v>3</v>
      </c>
      <c r="D23" s="223">
        <v>12</v>
      </c>
      <c r="E23" s="224">
        <f t="shared" si="2"/>
        <v>1650</v>
      </c>
      <c r="F23" s="225">
        <v>59400</v>
      </c>
      <c r="J23" s="227"/>
    </row>
    <row r="24" spans="1:10" x14ac:dyDescent="0.3">
      <c r="A24" s="7"/>
      <c r="B24" s="347" t="s">
        <v>234</v>
      </c>
      <c r="C24" s="347"/>
      <c r="D24" s="347"/>
      <c r="E24" s="347"/>
      <c r="F24" s="206">
        <f>F20-F16</f>
        <v>70248</v>
      </c>
    </row>
  </sheetData>
  <mergeCells count="15">
    <mergeCell ref="A8:F8"/>
    <mergeCell ref="C1:F1"/>
    <mergeCell ref="C2:F2"/>
    <mergeCell ref="C3:F3"/>
    <mergeCell ref="A5:F5"/>
    <mergeCell ref="A6:F6"/>
    <mergeCell ref="A9:F9"/>
    <mergeCell ref="A10:F10"/>
    <mergeCell ref="B15:E15"/>
    <mergeCell ref="B20:E20"/>
    <mergeCell ref="B24:E24"/>
    <mergeCell ref="B12:B13"/>
    <mergeCell ref="C12:C13"/>
    <mergeCell ref="D12:D13"/>
    <mergeCell ref="E12:E13"/>
  </mergeCells>
  <pageMargins left="0.25" right="0.17" top="0.19" bottom="0.19" header="0.3" footer="0.19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G22"/>
  <sheetViews>
    <sheetView zoomScaleNormal="100" workbookViewId="0">
      <selection activeCell="B37" sqref="B37"/>
    </sheetView>
  </sheetViews>
  <sheetFormatPr defaultColWidth="9.109375" defaultRowHeight="13.2" x14ac:dyDescent="0.25"/>
  <cols>
    <col min="1" max="1" width="9.109375" style="62"/>
    <col min="2" max="2" width="25.88671875" style="62" customWidth="1"/>
    <col min="3" max="3" width="12.33203125" style="62" customWidth="1"/>
    <col min="4" max="4" width="17.5546875" style="62" customWidth="1"/>
    <col min="5" max="5" width="17.6640625" style="62" customWidth="1"/>
    <col min="6" max="6" width="17" style="62" customWidth="1"/>
    <col min="7" max="7" width="11.88671875" style="62" bestFit="1" customWidth="1"/>
    <col min="8" max="16384" width="9.109375" style="62"/>
  </cols>
  <sheetData>
    <row r="1" spans="1:6" s="199" customFormat="1" ht="15.75" customHeight="1" x14ac:dyDescent="0.3">
      <c r="C1" s="326" t="s">
        <v>182</v>
      </c>
      <c r="D1" s="326"/>
      <c r="E1" s="326"/>
      <c r="F1" s="326"/>
    </row>
    <row r="2" spans="1:6" s="199" customFormat="1" ht="46.5" customHeight="1" x14ac:dyDescent="0.3">
      <c r="C2" s="327" t="s">
        <v>381</v>
      </c>
      <c r="D2" s="327"/>
      <c r="E2" s="327"/>
      <c r="F2" s="327"/>
    </row>
    <row r="3" spans="1:6" s="199" customFormat="1" ht="15.6" x14ac:dyDescent="0.3">
      <c r="C3" s="335" t="s">
        <v>238</v>
      </c>
      <c r="D3" s="335"/>
      <c r="E3" s="335"/>
      <c r="F3" s="335"/>
    </row>
    <row r="4" spans="1:6" s="199" customFormat="1" ht="15.6" x14ac:dyDescent="0.3">
      <c r="C4" s="200"/>
      <c r="D4" s="200"/>
      <c r="E4" s="200"/>
    </row>
    <row r="5" spans="1:6" s="199" customFormat="1" ht="15.6" x14ac:dyDescent="0.3">
      <c r="A5" s="312" t="s">
        <v>240</v>
      </c>
      <c r="B5" s="312"/>
      <c r="C5" s="312"/>
      <c r="D5" s="312"/>
      <c r="E5" s="312"/>
      <c r="F5" s="73"/>
    </row>
    <row r="6" spans="1:6" s="199" customFormat="1" ht="15.6" x14ac:dyDescent="0.3">
      <c r="A6" s="329">
        <v>45666</v>
      </c>
      <c r="B6" s="329"/>
      <c r="C6" s="329"/>
      <c r="D6" s="329"/>
      <c r="E6" s="329"/>
      <c r="F6" s="115"/>
    </row>
    <row r="7" spans="1:6" s="199" customFormat="1" ht="15.6" x14ac:dyDescent="0.3"/>
    <row r="8" spans="1:6" s="199" customFormat="1" ht="15.6" x14ac:dyDescent="0.3">
      <c r="A8" s="349" t="s">
        <v>146</v>
      </c>
      <c r="B8" s="349"/>
      <c r="C8" s="349"/>
      <c r="D8" s="349"/>
      <c r="E8" s="349"/>
      <c r="F8" s="349"/>
    </row>
    <row r="9" spans="1:6" s="199" customFormat="1" ht="15.6" x14ac:dyDescent="0.3">
      <c r="B9" s="312" t="s">
        <v>344</v>
      </c>
      <c r="C9" s="312"/>
      <c r="D9" s="312"/>
      <c r="E9" s="312"/>
      <c r="F9" s="73"/>
    </row>
    <row r="10" spans="1:6" s="199" customFormat="1" ht="15.6" x14ac:dyDescent="0.3">
      <c r="B10" s="311" t="s">
        <v>424</v>
      </c>
      <c r="C10" s="311"/>
      <c r="D10" s="311"/>
      <c r="E10" s="311"/>
    </row>
    <row r="11" spans="1:6" ht="16.5" customHeight="1" x14ac:dyDescent="0.25"/>
    <row r="12" spans="1:6" ht="26.4" x14ac:dyDescent="0.25">
      <c r="A12" s="201" t="s">
        <v>140</v>
      </c>
      <c r="B12" s="313" t="s">
        <v>113</v>
      </c>
      <c r="C12" s="337" t="s">
        <v>159</v>
      </c>
      <c r="D12" s="201" t="s">
        <v>156</v>
      </c>
      <c r="E12" s="201" t="s">
        <v>158</v>
      </c>
      <c r="F12" s="201" t="s">
        <v>120</v>
      </c>
    </row>
    <row r="13" spans="1:6" x14ac:dyDescent="0.25">
      <c r="A13" s="202" t="s">
        <v>141</v>
      </c>
      <c r="B13" s="313"/>
      <c r="C13" s="338"/>
      <c r="D13" s="202" t="s">
        <v>154</v>
      </c>
      <c r="E13" s="202" t="s">
        <v>157</v>
      </c>
      <c r="F13" s="202" t="s">
        <v>153</v>
      </c>
    </row>
    <row r="14" spans="1:6" x14ac:dyDescent="0.25">
      <c r="A14" s="202">
        <v>1</v>
      </c>
      <c r="B14" s="153">
        <v>2</v>
      </c>
      <c r="C14" s="153">
        <v>3</v>
      </c>
      <c r="D14" s="153">
        <v>4</v>
      </c>
      <c r="E14" s="153">
        <v>5</v>
      </c>
      <c r="F14" s="149">
        <v>6</v>
      </c>
    </row>
    <row r="15" spans="1:6" ht="15" customHeight="1" x14ac:dyDescent="0.25">
      <c r="A15" s="202"/>
      <c r="B15" s="336" t="s">
        <v>232</v>
      </c>
      <c r="C15" s="336"/>
      <c r="D15" s="336"/>
      <c r="E15" s="336"/>
      <c r="F15" s="154">
        <f>F18</f>
        <v>27369.5</v>
      </c>
    </row>
    <row r="16" spans="1:6" ht="26.4" x14ac:dyDescent="0.25">
      <c r="A16" s="231">
        <v>1</v>
      </c>
      <c r="B16" s="232" t="s">
        <v>422</v>
      </c>
      <c r="C16" s="233" t="s">
        <v>213</v>
      </c>
      <c r="D16" s="215">
        <v>19.62</v>
      </c>
      <c r="E16" s="216">
        <v>692.49</v>
      </c>
      <c r="F16" s="217">
        <v>13586.65</v>
      </c>
    </row>
    <row r="17" spans="1:7" ht="26.4" x14ac:dyDescent="0.25">
      <c r="A17" s="231">
        <v>2</v>
      </c>
      <c r="B17" s="232" t="s">
        <v>423</v>
      </c>
      <c r="C17" s="233" t="s">
        <v>213</v>
      </c>
      <c r="D17" s="215">
        <v>19.62</v>
      </c>
      <c r="E17" s="216">
        <v>702.49</v>
      </c>
      <c r="F17" s="217">
        <v>13782.85</v>
      </c>
    </row>
    <row r="18" spans="1:7" hidden="1" x14ac:dyDescent="0.25">
      <c r="A18" s="13"/>
      <c r="B18" s="13" t="s">
        <v>112</v>
      </c>
      <c r="C18" s="151"/>
      <c r="D18" s="151">
        <f>SUM(D16:D17)</f>
        <v>39.24</v>
      </c>
      <c r="E18" s="12">
        <f>SUM(E16:E17)</f>
        <v>1394.98</v>
      </c>
      <c r="F18" s="12">
        <f>SUM(F16:F17)</f>
        <v>27369.5</v>
      </c>
      <c r="G18" s="155"/>
    </row>
    <row r="19" spans="1:7" ht="15" customHeight="1" x14ac:dyDescent="0.25">
      <c r="A19" s="202"/>
      <c r="B19" s="336" t="s">
        <v>233</v>
      </c>
      <c r="C19" s="336"/>
      <c r="D19" s="336"/>
      <c r="E19" s="336"/>
      <c r="F19" s="154">
        <f>SUM(F20:F21)</f>
        <v>27369.5</v>
      </c>
    </row>
    <row r="20" spans="1:7" ht="26.4" x14ac:dyDescent="0.25">
      <c r="A20" s="231">
        <v>1</v>
      </c>
      <c r="B20" s="232" t="s">
        <v>422</v>
      </c>
      <c r="C20" s="233" t="s">
        <v>213</v>
      </c>
      <c r="D20" s="215">
        <v>19.62</v>
      </c>
      <c r="E20" s="216">
        <v>692.49</v>
      </c>
      <c r="F20" s="217">
        <v>13586.65</v>
      </c>
    </row>
    <row r="21" spans="1:7" ht="26.4" x14ac:dyDescent="0.25">
      <c r="A21" s="231">
        <v>2</v>
      </c>
      <c r="B21" s="232" t="s">
        <v>423</v>
      </c>
      <c r="C21" s="233" t="s">
        <v>213</v>
      </c>
      <c r="D21" s="215">
        <v>19.62</v>
      </c>
      <c r="E21" s="216">
        <v>702.49</v>
      </c>
      <c r="F21" s="217">
        <v>13782.85</v>
      </c>
    </row>
    <row r="22" spans="1:7" ht="15" customHeight="1" x14ac:dyDescent="0.25">
      <c r="A22" s="13"/>
      <c r="B22" s="336" t="s">
        <v>234</v>
      </c>
      <c r="C22" s="336"/>
      <c r="D22" s="336"/>
      <c r="E22" s="336"/>
      <c r="F22" s="154">
        <f>F19-F15</f>
        <v>0</v>
      </c>
    </row>
  </sheetData>
  <mergeCells count="13">
    <mergeCell ref="C1:F1"/>
    <mergeCell ref="C2:F2"/>
    <mergeCell ref="C3:F3"/>
    <mergeCell ref="A5:E5"/>
    <mergeCell ref="A6:E6"/>
    <mergeCell ref="B22:E22"/>
    <mergeCell ref="A8:F8"/>
    <mergeCell ref="B9:E9"/>
    <mergeCell ref="B10:E10"/>
    <mergeCell ref="B12:B13"/>
    <mergeCell ref="C12:C13"/>
    <mergeCell ref="B15:E15"/>
    <mergeCell ref="B19:E19"/>
  </mergeCells>
  <pageMargins left="0.17" right="0.17" top="0.75" bottom="0.28999999999999998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  <pageSetUpPr fitToPage="1"/>
  </sheetPr>
  <dimension ref="A1:G54"/>
  <sheetViews>
    <sheetView zoomScaleNormal="100" workbookViewId="0">
      <selection activeCell="F38" sqref="F38"/>
    </sheetView>
  </sheetViews>
  <sheetFormatPr defaultColWidth="9.109375" defaultRowHeight="13.2" x14ac:dyDescent="0.25"/>
  <cols>
    <col min="1" max="1" width="9.109375" style="62"/>
    <col min="2" max="2" width="25.88671875" style="62" customWidth="1"/>
    <col min="3" max="3" width="12.33203125" style="62" customWidth="1"/>
    <col min="4" max="4" width="17.5546875" style="62" customWidth="1"/>
    <col min="5" max="5" width="17.6640625" style="62" customWidth="1"/>
    <col min="6" max="6" width="17" style="62" customWidth="1"/>
    <col min="7" max="7" width="11.88671875" style="62" bestFit="1" customWidth="1"/>
    <col min="8" max="16384" width="9.109375" style="62"/>
  </cols>
  <sheetData>
    <row r="1" spans="1:6" s="72" customFormat="1" ht="15.75" customHeight="1" x14ac:dyDescent="0.3">
      <c r="C1" s="326" t="s">
        <v>182</v>
      </c>
      <c r="D1" s="326"/>
      <c r="E1" s="326"/>
      <c r="F1" s="326"/>
    </row>
    <row r="2" spans="1:6" s="72" customFormat="1" ht="46.5" customHeight="1" x14ac:dyDescent="0.3">
      <c r="C2" s="327" t="s">
        <v>381</v>
      </c>
      <c r="D2" s="327"/>
      <c r="E2" s="327"/>
      <c r="F2" s="327"/>
    </row>
    <row r="3" spans="1:6" s="72" customFormat="1" ht="15.6" x14ac:dyDescent="0.3">
      <c r="C3" s="335" t="s">
        <v>238</v>
      </c>
      <c r="D3" s="335"/>
      <c r="E3" s="335"/>
      <c r="F3" s="335"/>
    </row>
    <row r="4" spans="1:6" s="72" customFormat="1" ht="15.6" x14ac:dyDescent="0.3">
      <c r="C4" s="144"/>
      <c r="D4" s="144"/>
      <c r="E4" s="144"/>
    </row>
    <row r="5" spans="1:6" s="72" customFormat="1" ht="15.6" x14ac:dyDescent="0.3">
      <c r="A5" s="312" t="s">
        <v>240</v>
      </c>
      <c r="B5" s="312"/>
      <c r="C5" s="312"/>
      <c r="D5" s="312"/>
      <c r="E5" s="312"/>
      <c r="F5" s="73"/>
    </row>
    <row r="6" spans="1:6" s="72" customFormat="1" ht="15.6" x14ac:dyDescent="0.3">
      <c r="A6" s="329">
        <v>45666</v>
      </c>
      <c r="B6" s="329"/>
      <c r="C6" s="329"/>
      <c r="D6" s="329"/>
      <c r="E6" s="329"/>
      <c r="F6" s="115"/>
    </row>
    <row r="7" spans="1:6" s="72" customFormat="1" ht="15.6" x14ac:dyDescent="0.3">
      <c r="D7" s="144"/>
    </row>
    <row r="8" spans="1:6" s="72" customFormat="1" ht="15.6" x14ac:dyDescent="0.3">
      <c r="B8" s="328" t="s">
        <v>155</v>
      </c>
      <c r="C8" s="328"/>
      <c r="D8" s="328"/>
      <c r="E8" s="328"/>
    </row>
    <row r="9" spans="1:6" s="72" customFormat="1" ht="15.6" x14ac:dyDescent="0.3">
      <c r="B9" s="312" t="s">
        <v>344</v>
      </c>
      <c r="C9" s="312"/>
      <c r="D9" s="312"/>
      <c r="E9" s="312"/>
      <c r="F9" s="73"/>
    </row>
    <row r="10" spans="1:6" s="72" customFormat="1" ht="15.6" x14ac:dyDescent="0.3">
      <c r="B10" s="311" t="s">
        <v>315</v>
      </c>
      <c r="C10" s="311"/>
      <c r="D10" s="311"/>
      <c r="E10" s="311"/>
    </row>
    <row r="11" spans="1:6" ht="16.5" customHeight="1" x14ac:dyDescent="0.25"/>
    <row r="12" spans="1:6" ht="26.4" x14ac:dyDescent="0.25">
      <c r="A12" s="22" t="s">
        <v>140</v>
      </c>
      <c r="B12" s="313" t="s">
        <v>113</v>
      </c>
      <c r="C12" s="337" t="s">
        <v>159</v>
      </c>
      <c r="D12" s="22" t="s">
        <v>156</v>
      </c>
      <c r="E12" s="22" t="s">
        <v>158</v>
      </c>
      <c r="F12" s="22" t="s">
        <v>120</v>
      </c>
    </row>
    <row r="13" spans="1:6" x14ac:dyDescent="0.25">
      <c r="A13" s="23" t="s">
        <v>141</v>
      </c>
      <c r="B13" s="313"/>
      <c r="C13" s="338"/>
      <c r="D13" s="23" t="s">
        <v>154</v>
      </c>
      <c r="E13" s="23" t="s">
        <v>157</v>
      </c>
      <c r="F13" s="23" t="s">
        <v>153</v>
      </c>
    </row>
    <row r="14" spans="1:6" x14ac:dyDescent="0.25">
      <c r="A14" s="23">
        <v>1</v>
      </c>
      <c r="B14" s="153">
        <v>2</v>
      </c>
      <c r="C14" s="153">
        <v>3</v>
      </c>
      <c r="D14" s="153">
        <v>4</v>
      </c>
      <c r="E14" s="153">
        <v>5</v>
      </c>
      <c r="F14" s="149">
        <v>6</v>
      </c>
    </row>
    <row r="15" spans="1:6" ht="15" customHeight="1" x14ac:dyDescent="0.25">
      <c r="A15" s="23"/>
      <c r="B15" s="336" t="s">
        <v>232</v>
      </c>
      <c r="C15" s="336"/>
      <c r="D15" s="336"/>
      <c r="E15" s="336"/>
      <c r="F15" s="154">
        <f>F34</f>
        <v>615080.46</v>
      </c>
    </row>
    <row r="16" spans="1:6" ht="39.6" x14ac:dyDescent="0.25">
      <c r="A16" s="234">
        <v>1</v>
      </c>
      <c r="B16" s="232" t="s">
        <v>294</v>
      </c>
      <c r="C16" s="233" t="s">
        <v>214</v>
      </c>
      <c r="D16" s="234">
        <v>12</v>
      </c>
      <c r="E16" s="216">
        <f>F16/D16</f>
        <v>3500</v>
      </c>
      <c r="F16" s="217">
        <v>42000</v>
      </c>
    </row>
    <row r="17" spans="1:6" x14ac:dyDescent="0.25">
      <c r="A17" s="234">
        <v>2</v>
      </c>
      <c r="B17" s="232" t="s">
        <v>295</v>
      </c>
      <c r="C17" s="233" t="s">
        <v>310</v>
      </c>
      <c r="D17" s="235">
        <v>2500</v>
      </c>
      <c r="E17" s="216">
        <f t="shared" ref="E17:E32" si="0">F17/D17</f>
        <v>56.646000000000001</v>
      </c>
      <c r="F17" s="217">
        <v>141615</v>
      </c>
    </row>
    <row r="18" spans="1:6" ht="26.4" x14ac:dyDescent="0.25">
      <c r="A18" s="234">
        <v>3</v>
      </c>
      <c r="B18" s="232" t="s">
        <v>296</v>
      </c>
      <c r="C18" s="233" t="s">
        <v>311</v>
      </c>
      <c r="D18" s="234">
        <v>1.43</v>
      </c>
      <c r="E18" s="216">
        <f t="shared" si="0"/>
        <v>3496.5034965034965</v>
      </c>
      <c r="F18" s="217">
        <v>5000</v>
      </c>
    </row>
    <row r="19" spans="1:6" ht="39.6" x14ac:dyDescent="0.25">
      <c r="A19" s="234">
        <v>4</v>
      </c>
      <c r="B19" s="232" t="s">
        <v>297</v>
      </c>
      <c r="C19" s="233" t="s">
        <v>214</v>
      </c>
      <c r="D19" s="234">
        <v>12</v>
      </c>
      <c r="E19" s="216">
        <f t="shared" si="0"/>
        <v>3240</v>
      </c>
      <c r="F19" s="217">
        <v>38880</v>
      </c>
    </row>
    <row r="20" spans="1:6" ht="26.4" x14ac:dyDescent="0.25">
      <c r="A20" s="234">
        <v>5</v>
      </c>
      <c r="B20" s="232" t="s">
        <v>298</v>
      </c>
      <c r="C20" s="233" t="s">
        <v>214</v>
      </c>
      <c r="D20" s="234">
        <v>12</v>
      </c>
      <c r="E20" s="216">
        <f t="shared" si="0"/>
        <v>3240</v>
      </c>
      <c r="F20" s="217">
        <v>38880</v>
      </c>
    </row>
    <row r="21" spans="1:6" ht="39.6" x14ac:dyDescent="0.25">
      <c r="A21" s="234">
        <v>6</v>
      </c>
      <c r="B21" s="232" t="s">
        <v>299</v>
      </c>
      <c r="C21" s="233" t="s">
        <v>214</v>
      </c>
      <c r="D21" s="234">
        <v>12</v>
      </c>
      <c r="E21" s="216">
        <f t="shared" si="0"/>
        <v>1030.75</v>
      </c>
      <c r="F21" s="217">
        <v>12369</v>
      </c>
    </row>
    <row r="22" spans="1:6" ht="39.6" x14ac:dyDescent="0.25">
      <c r="A22" s="234">
        <v>7</v>
      </c>
      <c r="B22" s="232" t="s">
        <v>300</v>
      </c>
      <c r="C22" s="233" t="s">
        <v>214</v>
      </c>
      <c r="D22" s="234">
        <v>12</v>
      </c>
      <c r="E22" s="216">
        <f t="shared" si="0"/>
        <v>1030.75</v>
      </c>
      <c r="F22" s="217">
        <v>12369</v>
      </c>
    </row>
    <row r="23" spans="1:6" ht="39.6" x14ac:dyDescent="0.25">
      <c r="A23" s="234">
        <v>8</v>
      </c>
      <c r="B23" s="232" t="s">
        <v>301</v>
      </c>
      <c r="C23" s="233" t="s">
        <v>214</v>
      </c>
      <c r="D23" s="234">
        <v>12</v>
      </c>
      <c r="E23" s="216">
        <f t="shared" si="0"/>
        <v>1030.75</v>
      </c>
      <c r="F23" s="217">
        <v>12369</v>
      </c>
    </row>
    <row r="24" spans="1:6" ht="26.4" x14ac:dyDescent="0.25">
      <c r="A24" s="234">
        <v>9</v>
      </c>
      <c r="B24" s="232" t="s">
        <v>302</v>
      </c>
      <c r="C24" s="233" t="s">
        <v>214</v>
      </c>
      <c r="D24" s="234">
        <v>12</v>
      </c>
      <c r="E24" s="216">
        <f t="shared" si="0"/>
        <v>1833.3333333333333</v>
      </c>
      <c r="F24" s="217">
        <v>22000</v>
      </c>
    </row>
    <row r="25" spans="1:6" ht="26.4" x14ac:dyDescent="0.25">
      <c r="A25" s="234">
        <v>10</v>
      </c>
      <c r="B25" s="232" t="s">
        <v>303</v>
      </c>
      <c r="C25" s="233" t="s">
        <v>214</v>
      </c>
      <c r="D25" s="234">
        <v>12</v>
      </c>
      <c r="E25" s="216">
        <f t="shared" si="0"/>
        <v>1833.3333333333333</v>
      </c>
      <c r="F25" s="217">
        <v>22000</v>
      </c>
    </row>
    <row r="26" spans="1:6" ht="26.4" x14ac:dyDescent="0.25">
      <c r="A26" s="234">
        <v>11</v>
      </c>
      <c r="B26" s="232" t="s">
        <v>304</v>
      </c>
      <c r="C26" s="233" t="s">
        <v>214</v>
      </c>
      <c r="D26" s="234">
        <v>12</v>
      </c>
      <c r="E26" s="216">
        <f t="shared" si="0"/>
        <v>1833.3333333333333</v>
      </c>
      <c r="F26" s="217">
        <v>22000</v>
      </c>
    </row>
    <row r="27" spans="1:6" ht="39.6" x14ac:dyDescent="0.25">
      <c r="A27" s="234">
        <v>12</v>
      </c>
      <c r="B27" s="232" t="s">
        <v>305</v>
      </c>
      <c r="C27" s="233" t="s">
        <v>312</v>
      </c>
      <c r="D27" s="234">
        <v>2</v>
      </c>
      <c r="E27" s="216">
        <f t="shared" si="0"/>
        <v>2688.6</v>
      </c>
      <c r="F27" s="217">
        <v>5377.2</v>
      </c>
    </row>
    <row r="28" spans="1:6" x14ac:dyDescent="0.25">
      <c r="A28" s="234">
        <v>13</v>
      </c>
      <c r="B28" s="232" t="s">
        <v>306</v>
      </c>
      <c r="C28" s="233" t="s">
        <v>312</v>
      </c>
      <c r="D28" s="234">
        <v>40</v>
      </c>
      <c r="E28" s="216">
        <f t="shared" si="0"/>
        <v>637.5</v>
      </c>
      <c r="F28" s="217">
        <v>25500</v>
      </c>
    </row>
    <row r="29" spans="1:6" ht="26.4" x14ac:dyDescent="0.25">
      <c r="A29" s="234">
        <v>14</v>
      </c>
      <c r="B29" s="232" t="s">
        <v>307</v>
      </c>
      <c r="C29" s="233" t="s">
        <v>314</v>
      </c>
      <c r="D29" s="234">
        <v>1</v>
      </c>
      <c r="E29" s="216">
        <f t="shared" si="0"/>
        <v>20000</v>
      </c>
      <c r="F29" s="217">
        <v>20000</v>
      </c>
    </row>
    <row r="30" spans="1:6" ht="39.6" x14ac:dyDescent="0.25">
      <c r="A30" s="234">
        <v>15</v>
      </c>
      <c r="B30" s="232" t="s">
        <v>308</v>
      </c>
      <c r="C30" s="233" t="s">
        <v>214</v>
      </c>
      <c r="D30" s="234">
        <v>12</v>
      </c>
      <c r="E30" s="216">
        <f t="shared" si="0"/>
        <v>5818.7158333333327</v>
      </c>
      <c r="F30" s="217">
        <v>69824.59</v>
      </c>
    </row>
    <row r="31" spans="1:6" ht="39.6" x14ac:dyDescent="0.25">
      <c r="A31" s="234">
        <v>16</v>
      </c>
      <c r="B31" s="232" t="s">
        <v>309</v>
      </c>
      <c r="C31" s="233" t="s">
        <v>214</v>
      </c>
      <c r="D31" s="234">
        <v>12</v>
      </c>
      <c r="E31" s="216">
        <f t="shared" si="0"/>
        <v>6843.7649999999994</v>
      </c>
      <c r="F31" s="217">
        <v>82125.179999999993</v>
      </c>
    </row>
    <row r="32" spans="1:6" ht="26.4" x14ac:dyDescent="0.25">
      <c r="A32" s="234">
        <v>17</v>
      </c>
      <c r="B32" s="232" t="s">
        <v>313</v>
      </c>
      <c r="C32" s="233" t="s">
        <v>214</v>
      </c>
      <c r="D32" s="234">
        <v>4</v>
      </c>
      <c r="E32" s="216">
        <f t="shared" si="0"/>
        <v>3240</v>
      </c>
      <c r="F32" s="217">
        <v>12960</v>
      </c>
    </row>
    <row r="33" spans="1:7" x14ac:dyDescent="0.25">
      <c r="A33" s="234">
        <v>18</v>
      </c>
      <c r="B33" s="232" t="s">
        <v>218</v>
      </c>
      <c r="C33" s="233"/>
      <c r="D33" s="234"/>
      <c r="E33" s="216"/>
      <c r="F33" s="217">
        <v>29811.489999999991</v>
      </c>
    </row>
    <row r="34" spans="1:7" hidden="1" x14ac:dyDescent="0.25">
      <c r="A34" s="13"/>
      <c r="B34" s="13" t="s">
        <v>112</v>
      </c>
      <c r="C34" s="151"/>
      <c r="D34" s="151">
        <f>SUM(D16:D33)</f>
        <v>2680.43</v>
      </c>
      <c r="E34" s="12">
        <f>SUM(E16:E33)</f>
        <v>61353.980329836821</v>
      </c>
      <c r="F34" s="12">
        <f>SUM(F16:F33)</f>
        <v>615080.46</v>
      </c>
      <c r="G34" s="155"/>
    </row>
    <row r="35" spans="1:7" ht="15" customHeight="1" x14ac:dyDescent="0.25">
      <c r="A35" s="23"/>
      <c r="B35" s="336" t="s">
        <v>233</v>
      </c>
      <c r="C35" s="336"/>
      <c r="D35" s="336"/>
      <c r="E35" s="336"/>
      <c r="F35" s="154">
        <f>SUM(F36:F53)</f>
        <v>615080.46</v>
      </c>
    </row>
    <row r="36" spans="1:7" ht="39.6" x14ac:dyDescent="0.25">
      <c r="A36" s="234">
        <v>1</v>
      </c>
      <c r="B36" s="232" t="s">
        <v>294</v>
      </c>
      <c r="C36" s="233" t="s">
        <v>214</v>
      </c>
      <c r="D36" s="234">
        <v>12</v>
      </c>
      <c r="E36" s="216">
        <f>F36/D36</f>
        <v>3500</v>
      </c>
      <c r="F36" s="217">
        <v>42000</v>
      </c>
    </row>
    <row r="37" spans="1:7" x14ac:dyDescent="0.25">
      <c r="A37" s="234">
        <v>2</v>
      </c>
      <c r="B37" s="232" t="s">
        <v>295</v>
      </c>
      <c r="C37" s="233" t="s">
        <v>310</v>
      </c>
      <c r="D37" s="235">
        <v>2500</v>
      </c>
      <c r="E37" s="216">
        <f t="shared" ref="E37:E52" si="1">F37/D37</f>
        <v>56.646000000000001</v>
      </c>
      <c r="F37" s="217">
        <v>141615</v>
      </c>
    </row>
    <row r="38" spans="1:7" ht="26.4" x14ac:dyDescent="0.25">
      <c r="A38" s="234">
        <v>3</v>
      </c>
      <c r="B38" s="232" t="s">
        <v>296</v>
      </c>
      <c r="C38" s="233" t="s">
        <v>311</v>
      </c>
      <c r="D38" s="234">
        <v>1.43</v>
      </c>
      <c r="E38" s="216">
        <f t="shared" si="1"/>
        <v>3496.5034965034965</v>
      </c>
      <c r="F38" s="217">
        <v>5000</v>
      </c>
    </row>
    <row r="39" spans="1:7" ht="39.6" x14ac:dyDescent="0.25">
      <c r="A39" s="234">
        <v>4</v>
      </c>
      <c r="B39" s="232" t="s">
        <v>297</v>
      </c>
      <c r="C39" s="233" t="s">
        <v>214</v>
      </c>
      <c r="D39" s="234">
        <v>12</v>
      </c>
      <c r="E39" s="216">
        <f t="shared" si="1"/>
        <v>3240</v>
      </c>
      <c r="F39" s="217">
        <v>38880</v>
      </c>
    </row>
    <row r="40" spans="1:7" ht="26.4" x14ac:dyDescent="0.25">
      <c r="A40" s="234">
        <v>5</v>
      </c>
      <c r="B40" s="232" t="s">
        <v>298</v>
      </c>
      <c r="C40" s="233" t="s">
        <v>214</v>
      </c>
      <c r="D40" s="234">
        <v>12</v>
      </c>
      <c r="E40" s="216">
        <f t="shared" si="1"/>
        <v>3240</v>
      </c>
      <c r="F40" s="217">
        <v>38880</v>
      </c>
    </row>
    <row r="41" spans="1:7" ht="39.6" x14ac:dyDescent="0.25">
      <c r="A41" s="234">
        <v>6</v>
      </c>
      <c r="B41" s="232" t="s">
        <v>299</v>
      </c>
      <c r="C41" s="233" t="s">
        <v>214</v>
      </c>
      <c r="D41" s="234">
        <v>12</v>
      </c>
      <c r="E41" s="216">
        <f t="shared" si="1"/>
        <v>1030.75</v>
      </c>
      <c r="F41" s="217">
        <v>12369</v>
      </c>
    </row>
    <row r="42" spans="1:7" ht="39.6" x14ac:dyDescent="0.25">
      <c r="A42" s="234">
        <v>7</v>
      </c>
      <c r="B42" s="232" t="s">
        <v>300</v>
      </c>
      <c r="C42" s="233" t="s">
        <v>214</v>
      </c>
      <c r="D42" s="234">
        <v>12</v>
      </c>
      <c r="E42" s="216">
        <f t="shared" si="1"/>
        <v>1030.75</v>
      </c>
      <c r="F42" s="217">
        <v>12369</v>
      </c>
    </row>
    <row r="43" spans="1:7" ht="39.6" x14ac:dyDescent="0.25">
      <c r="A43" s="234">
        <v>8</v>
      </c>
      <c r="B43" s="232" t="s">
        <v>301</v>
      </c>
      <c r="C43" s="233" t="s">
        <v>214</v>
      </c>
      <c r="D43" s="234">
        <v>12</v>
      </c>
      <c r="E43" s="216">
        <f t="shared" si="1"/>
        <v>1030.75</v>
      </c>
      <c r="F43" s="217">
        <v>12369</v>
      </c>
    </row>
    <row r="44" spans="1:7" ht="26.4" x14ac:dyDescent="0.25">
      <c r="A44" s="234">
        <v>9</v>
      </c>
      <c r="B44" s="232" t="s">
        <v>302</v>
      </c>
      <c r="C44" s="233" t="s">
        <v>214</v>
      </c>
      <c r="D44" s="234">
        <v>12</v>
      </c>
      <c r="E44" s="216">
        <f t="shared" si="1"/>
        <v>1833.3333333333333</v>
      </c>
      <c r="F44" s="217">
        <v>22000</v>
      </c>
    </row>
    <row r="45" spans="1:7" ht="26.4" x14ac:dyDescent="0.25">
      <c r="A45" s="234">
        <v>10</v>
      </c>
      <c r="B45" s="232" t="s">
        <v>303</v>
      </c>
      <c r="C45" s="233" t="s">
        <v>214</v>
      </c>
      <c r="D45" s="234">
        <v>12</v>
      </c>
      <c r="E45" s="216">
        <f t="shared" si="1"/>
        <v>1833.3333333333333</v>
      </c>
      <c r="F45" s="217">
        <v>22000</v>
      </c>
    </row>
    <row r="46" spans="1:7" ht="26.4" x14ac:dyDescent="0.25">
      <c r="A46" s="234">
        <v>11</v>
      </c>
      <c r="B46" s="232" t="s">
        <v>304</v>
      </c>
      <c r="C46" s="233" t="s">
        <v>214</v>
      </c>
      <c r="D46" s="234">
        <v>12</v>
      </c>
      <c r="E46" s="216">
        <f t="shared" si="1"/>
        <v>1833.3333333333333</v>
      </c>
      <c r="F46" s="217">
        <v>22000</v>
      </c>
    </row>
    <row r="47" spans="1:7" ht="39.6" x14ac:dyDescent="0.25">
      <c r="A47" s="234">
        <v>12</v>
      </c>
      <c r="B47" s="232" t="s">
        <v>305</v>
      </c>
      <c r="C47" s="233" t="s">
        <v>312</v>
      </c>
      <c r="D47" s="234">
        <v>2</v>
      </c>
      <c r="E47" s="216">
        <f t="shared" si="1"/>
        <v>2688.6</v>
      </c>
      <c r="F47" s="217">
        <v>5377.2</v>
      </c>
    </row>
    <row r="48" spans="1:7" x14ac:dyDescent="0.25">
      <c r="A48" s="234">
        <v>13</v>
      </c>
      <c r="B48" s="232" t="s">
        <v>306</v>
      </c>
      <c r="C48" s="233" t="s">
        <v>312</v>
      </c>
      <c r="D48" s="234">
        <v>40</v>
      </c>
      <c r="E48" s="216">
        <f t="shared" si="1"/>
        <v>637.5</v>
      </c>
      <c r="F48" s="217">
        <v>25500</v>
      </c>
    </row>
    <row r="49" spans="1:6" ht="26.4" x14ac:dyDescent="0.25">
      <c r="A49" s="234">
        <v>14</v>
      </c>
      <c r="B49" s="232" t="s">
        <v>307</v>
      </c>
      <c r="C49" s="233" t="s">
        <v>314</v>
      </c>
      <c r="D49" s="234">
        <v>1</v>
      </c>
      <c r="E49" s="216">
        <f t="shared" si="1"/>
        <v>20000</v>
      </c>
      <c r="F49" s="217">
        <v>20000</v>
      </c>
    </row>
    <row r="50" spans="1:6" ht="39.6" x14ac:dyDescent="0.25">
      <c r="A50" s="234">
        <v>15</v>
      </c>
      <c r="B50" s="232" t="s">
        <v>308</v>
      </c>
      <c r="C50" s="233" t="s">
        <v>214</v>
      </c>
      <c r="D50" s="234">
        <v>12</v>
      </c>
      <c r="E50" s="216">
        <f t="shared" si="1"/>
        <v>5818.7158333333327</v>
      </c>
      <c r="F50" s="217">
        <v>69824.59</v>
      </c>
    </row>
    <row r="51" spans="1:6" ht="39.6" x14ac:dyDescent="0.25">
      <c r="A51" s="234">
        <v>16</v>
      </c>
      <c r="B51" s="232" t="s">
        <v>309</v>
      </c>
      <c r="C51" s="233" t="s">
        <v>214</v>
      </c>
      <c r="D51" s="234">
        <v>12</v>
      </c>
      <c r="E51" s="216">
        <f t="shared" si="1"/>
        <v>6843.7649999999994</v>
      </c>
      <c r="F51" s="217">
        <v>82125.179999999993</v>
      </c>
    </row>
    <row r="52" spans="1:6" ht="26.4" x14ac:dyDescent="0.25">
      <c r="A52" s="234">
        <v>17</v>
      </c>
      <c r="B52" s="232" t="s">
        <v>313</v>
      </c>
      <c r="C52" s="233" t="s">
        <v>214</v>
      </c>
      <c r="D52" s="234">
        <v>4</v>
      </c>
      <c r="E52" s="216">
        <f t="shared" si="1"/>
        <v>3240</v>
      </c>
      <c r="F52" s="217">
        <v>12960</v>
      </c>
    </row>
    <row r="53" spans="1:6" x14ac:dyDescent="0.25">
      <c r="A53" s="234">
        <v>18</v>
      </c>
      <c r="B53" s="232" t="s">
        <v>218</v>
      </c>
      <c r="C53" s="233"/>
      <c r="D53" s="234"/>
      <c r="E53" s="216"/>
      <c r="F53" s="217">
        <v>29811.489999999991</v>
      </c>
    </row>
    <row r="54" spans="1:6" ht="15" customHeight="1" x14ac:dyDescent="0.25">
      <c r="A54" s="13"/>
      <c r="B54" s="336" t="s">
        <v>234</v>
      </c>
      <c r="C54" s="336"/>
      <c r="D54" s="336"/>
      <c r="E54" s="336"/>
      <c r="F54" s="154">
        <f>F35-F15</f>
        <v>0</v>
      </c>
    </row>
  </sheetData>
  <mergeCells count="13">
    <mergeCell ref="A6:E6"/>
    <mergeCell ref="C2:F2"/>
    <mergeCell ref="C1:F1"/>
    <mergeCell ref="C3:F3"/>
    <mergeCell ref="B15:E15"/>
    <mergeCell ref="A5:E5"/>
    <mergeCell ref="B35:E35"/>
    <mergeCell ref="B54:E54"/>
    <mergeCell ref="B8:E8"/>
    <mergeCell ref="B12:B13"/>
    <mergeCell ref="C12:C13"/>
    <mergeCell ref="B10:E10"/>
    <mergeCell ref="B9:E9"/>
  </mergeCells>
  <pageMargins left="0.17" right="0.17" top="0.75" bottom="0.28999999999999998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  <pageSetUpPr fitToPage="1"/>
  </sheetPr>
  <dimension ref="A1:F38"/>
  <sheetViews>
    <sheetView zoomScaleNormal="100" workbookViewId="0">
      <selection activeCell="J24" sqref="J24"/>
    </sheetView>
  </sheetViews>
  <sheetFormatPr defaultColWidth="9.109375" defaultRowHeight="13.2" x14ac:dyDescent="0.25"/>
  <cols>
    <col min="1" max="1" width="9.109375" style="62"/>
    <col min="2" max="2" width="33.6640625" style="62" customWidth="1"/>
    <col min="3" max="3" width="12.33203125" style="62" customWidth="1"/>
    <col min="4" max="4" width="13.109375" style="62" customWidth="1"/>
    <col min="5" max="5" width="17.6640625" style="62" customWidth="1"/>
    <col min="6" max="6" width="17" style="62" customWidth="1"/>
    <col min="7" max="16384" width="9.109375" style="62"/>
  </cols>
  <sheetData>
    <row r="1" spans="1:6" s="158" customFormat="1" ht="15.6" x14ac:dyDescent="0.3">
      <c r="C1" s="326" t="s">
        <v>182</v>
      </c>
      <c r="D1" s="326"/>
      <c r="E1" s="326"/>
      <c r="F1" s="156"/>
    </row>
    <row r="2" spans="1:6" s="158" customFormat="1" ht="49.5" customHeight="1" x14ac:dyDescent="0.3">
      <c r="C2" s="327" t="s">
        <v>381</v>
      </c>
      <c r="D2" s="327"/>
      <c r="E2" s="327"/>
      <c r="F2" s="327"/>
    </row>
    <row r="3" spans="1:6" s="158" customFormat="1" ht="15.6" x14ac:dyDescent="0.3">
      <c r="C3" s="335" t="s">
        <v>238</v>
      </c>
      <c r="D3" s="335"/>
      <c r="E3" s="335"/>
    </row>
    <row r="4" spans="1:6" s="158" customFormat="1" ht="15.6" x14ac:dyDescent="0.3">
      <c r="C4" s="146"/>
      <c r="D4" s="146"/>
      <c r="E4" s="146"/>
    </row>
    <row r="5" spans="1:6" s="158" customFormat="1" ht="15.6" x14ac:dyDescent="0.3">
      <c r="A5" s="312" t="s">
        <v>240</v>
      </c>
      <c r="B5" s="312"/>
      <c r="C5" s="312"/>
      <c r="D5" s="312"/>
      <c r="E5" s="312"/>
      <c r="F5" s="312"/>
    </row>
    <row r="6" spans="1:6" s="158" customFormat="1" ht="15.6" x14ac:dyDescent="0.3">
      <c r="A6" s="329">
        <v>45666</v>
      </c>
      <c r="B6" s="329"/>
      <c r="C6" s="329"/>
      <c r="D6" s="329"/>
      <c r="E6" s="329"/>
      <c r="F6" s="329"/>
    </row>
    <row r="7" spans="1:6" s="158" customFormat="1" ht="15.6" x14ac:dyDescent="0.3">
      <c r="A7" s="329"/>
      <c r="B7" s="329"/>
      <c r="C7" s="329"/>
      <c r="D7" s="329"/>
      <c r="E7" s="329"/>
      <c r="F7" s="329"/>
    </row>
    <row r="8" spans="1:6" s="158" customFormat="1" ht="15.6" x14ac:dyDescent="0.3">
      <c r="A8" s="328" t="s">
        <v>160</v>
      </c>
      <c r="B8" s="328"/>
      <c r="C8" s="328"/>
      <c r="D8" s="328"/>
      <c r="E8" s="328"/>
      <c r="F8" s="328"/>
    </row>
    <row r="9" spans="1:6" s="158" customFormat="1" ht="15.6" x14ac:dyDescent="0.3">
      <c r="A9" s="312" t="s">
        <v>344</v>
      </c>
      <c r="B9" s="312"/>
      <c r="C9" s="312"/>
      <c r="D9" s="312"/>
      <c r="E9" s="312"/>
      <c r="F9" s="312"/>
    </row>
    <row r="10" spans="1:6" s="158" customFormat="1" ht="15.6" x14ac:dyDescent="0.3">
      <c r="A10" s="311" t="s">
        <v>320</v>
      </c>
      <c r="B10" s="311"/>
      <c r="C10" s="311"/>
      <c r="D10" s="311"/>
      <c r="E10" s="311"/>
      <c r="F10" s="311"/>
    </row>
    <row r="11" spans="1:6" ht="16.5" customHeight="1" x14ac:dyDescent="0.25"/>
    <row r="12" spans="1:6" ht="26.4" x14ac:dyDescent="0.25">
      <c r="A12" s="147" t="s">
        <v>140</v>
      </c>
      <c r="B12" s="313" t="s">
        <v>113</v>
      </c>
      <c r="C12" s="337" t="s">
        <v>159</v>
      </c>
      <c r="D12" s="147" t="s">
        <v>156</v>
      </c>
      <c r="E12" s="147" t="s">
        <v>158</v>
      </c>
      <c r="F12" s="147" t="s">
        <v>120</v>
      </c>
    </row>
    <row r="13" spans="1:6" x14ac:dyDescent="0.25">
      <c r="A13" s="148" t="s">
        <v>141</v>
      </c>
      <c r="B13" s="313"/>
      <c r="C13" s="338"/>
      <c r="D13" s="148" t="s">
        <v>154</v>
      </c>
      <c r="E13" s="148" t="s">
        <v>157</v>
      </c>
      <c r="F13" s="148" t="s">
        <v>153</v>
      </c>
    </row>
    <row r="14" spans="1:6" x14ac:dyDescent="0.25">
      <c r="A14" s="148">
        <v>1</v>
      </c>
      <c r="B14" s="153">
        <v>2</v>
      </c>
      <c r="C14" s="153">
        <v>3</v>
      </c>
      <c r="D14" s="153">
        <v>4</v>
      </c>
      <c r="E14" s="153">
        <v>5</v>
      </c>
      <c r="F14" s="149">
        <v>6</v>
      </c>
    </row>
    <row r="15" spans="1:6" x14ac:dyDescent="0.25">
      <c r="A15" s="148"/>
      <c r="B15" s="336" t="s">
        <v>232</v>
      </c>
      <c r="C15" s="336"/>
      <c r="D15" s="336"/>
      <c r="E15" s="336"/>
      <c r="F15" s="154">
        <f>F26</f>
        <v>518910.96</v>
      </c>
    </row>
    <row r="16" spans="1:6" x14ac:dyDescent="0.25">
      <c r="A16" s="234">
        <v>1</v>
      </c>
      <c r="B16" s="150" t="s">
        <v>321</v>
      </c>
      <c r="C16" s="151" t="s">
        <v>216</v>
      </c>
      <c r="D16" s="197">
        <v>50</v>
      </c>
      <c r="E16" s="152">
        <f>F16/D16</f>
        <v>2638.7</v>
      </c>
      <c r="F16" s="217">
        <v>131935</v>
      </c>
    </row>
    <row r="17" spans="1:6" x14ac:dyDescent="0.25">
      <c r="A17" s="234">
        <v>2</v>
      </c>
      <c r="B17" s="150" t="s">
        <v>322</v>
      </c>
      <c r="C17" s="151" t="s">
        <v>312</v>
      </c>
      <c r="D17" s="197">
        <v>1</v>
      </c>
      <c r="E17" s="152">
        <f t="shared" ref="E17:E25" si="0">F17/D17</f>
        <v>90000</v>
      </c>
      <c r="F17" s="217">
        <v>90000</v>
      </c>
    </row>
    <row r="18" spans="1:6" ht="26.4" x14ac:dyDescent="0.25">
      <c r="A18" s="234">
        <v>3</v>
      </c>
      <c r="B18" s="150" t="s">
        <v>323</v>
      </c>
      <c r="C18" s="151" t="s">
        <v>214</v>
      </c>
      <c r="D18" s="197">
        <v>12</v>
      </c>
      <c r="E18" s="152">
        <f t="shared" si="0"/>
        <v>1099.33</v>
      </c>
      <c r="F18" s="217">
        <v>13191.96</v>
      </c>
    </row>
    <row r="19" spans="1:6" ht="26.4" x14ac:dyDescent="0.25">
      <c r="A19" s="234">
        <v>4</v>
      </c>
      <c r="B19" s="150" t="s">
        <v>324</v>
      </c>
      <c r="C19" s="151" t="s">
        <v>214</v>
      </c>
      <c r="D19" s="197">
        <v>12</v>
      </c>
      <c r="E19" s="152">
        <f t="shared" si="0"/>
        <v>946.71999999999991</v>
      </c>
      <c r="F19" s="217">
        <v>11360.64</v>
      </c>
    </row>
    <row r="20" spans="1:6" ht="26.4" x14ac:dyDescent="0.25">
      <c r="A20" s="234">
        <v>5</v>
      </c>
      <c r="B20" s="150" t="s">
        <v>325</v>
      </c>
      <c r="C20" s="151" t="s">
        <v>214</v>
      </c>
      <c r="D20" s="197">
        <v>12</v>
      </c>
      <c r="E20" s="152">
        <f t="shared" si="0"/>
        <v>3295.2000000000003</v>
      </c>
      <c r="F20" s="217">
        <v>39542.400000000001</v>
      </c>
    </row>
    <row r="21" spans="1:6" ht="26.4" x14ac:dyDescent="0.25">
      <c r="A21" s="234">
        <v>6</v>
      </c>
      <c r="B21" s="150" t="s">
        <v>329</v>
      </c>
      <c r="C21" s="151" t="s">
        <v>214</v>
      </c>
      <c r="D21" s="197">
        <v>12</v>
      </c>
      <c r="E21" s="152">
        <f t="shared" si="0"/>
        <v>5368.333333333333</v>
      </c>
      <c r="F21" s="217">
        <v>64420</v>
      </c>
    </row>
    <row r="22" spans="1:6" ht="26.4" x14ac:dyDescent="0.25">
      <c r="A22" s="234">
        <v>7</v>
      </c>
      <c r="B22" s="150" t="s">
        <v>330</v>
      </c>
      <c r="C22" s="151" t="s">
        <v>214</v>
      </c>
      <c r="D22" s="197">
        <v>12</v>
      </c>
      <c r="E22" s="152">
        <f t="shared" si="0"/>
        <v>3776.5333333333333</v>
      </c>
      <c r="F22" s="217">
        <v>45318.400000000001</v>
      </c>
    </row>
    <row r="23" spans="1:6" ht="26.4" x14ac:dyDescent="0.25">
      <c r="A23" s="234">
        <v>8</v>
      </c>
      <c r="B23" s="150" t="s">
        <v>326</v>
      </c>
      <c r="C23" s="151" t="s">
        <v>214</v>
      </c>
      <c r="D23" s="197">
        <v>12</v>
      </c>
      <c r="E23" s="152">
        <f t="shared" si="0"/>
        <v>3786.8799999999997</v>
      </c>
      <c r="F23" s="217">
        <v>45442.559999999998</v>
      </c>
    </row>
    <row r="24" spans="1:6" ht="26.4" x14ac:dyDescent="0.25">
      <c r="A24" s="234">
        <v>9</v>
      </c>
      <c r="B24" s="150" t="s">
        <v>327</v>
      </c>
      <c r="C24" s="151" t="s">
        <v>215</v>
      </c>
      <c r="D24" s="197">
        <v>1</v>
      </c>
      <c r="E24" s="152">
        <f t="shared" si="0"/>
        <v>11700</v>
      </c>
      <c r="F24" s="217">
        <v>11700</v>
      </c>
    </row>
    <row r="25" spans="1:6" x14ac:dyDescent="0.25">
      <c r="A25" s="234">
        <v>10</v>
      </c>
      <c r="B25" s="150" t="s">
        <v>328</v>
      </c>
      <c r="C25" s="151" t="s">
        <v>216</v>
      </c>
      <c r="D25" s="197">
        <v>10</v>
      </c>
      <c r="E25" s="152">
        <f t="shared" si="0"/>
        <v>6600</v>
      </c>
      <c r="F25" s="217">
        <v>66000</v>
      </c>
    </row>
    <row r="26" spans="1:6" hidden="1" x14ac:dyDescent="0.25">
      <c r="A26" s="13"/>
      <c r="B26" s="13" t="s">
        <v>112</v>
      </c>
      <c r="C26" s="151"/>
      <c r="D26" s="151">
        <f>SUM(D16:D25)</f>
        <v>134</v>
      </c>
      <c r="E26" s="12">
        <f>SUM(E16:E25)</f>
        <v>129211.69666666667</v>
      </c>
      <c r="F26" s="12">
        <f>SUM(F16:F25)</f>
        <v>518910.96</v>
      </c>
    </row>
    <row r="27" spans="1:6" x14ac:dyDescent="0.25">
      <c r="A27" s="148"/>
      <c r="B27" s="336" t="s">
        <v>233</v>
      </c>
      <c r="C27" s="336"/>
      <c r="D27" s="336"/>
      <c r="E27" s="336"/>
      <c r="F27" s="154">
        <f>SUM(F28:F37)</f>
        <v>518910.96</v>
      </c>
    </row>
    <row r="28" spans="1:6" x14ac:dyDescent="0.25">
      <c r="A28" s="234">
        <v>1</v>
      </c>
      <c r="B28" s="150" t="s">
        <v>321</v>
      </c>
      <c r="C28" s="151" t="s">
        <v>216</v>
      </c>
      <c r="D28" s="197">
        <v>50</v>
      </c>
      <c r="E28" s="152">
        <f>F28/D28</f>
        <v>2638.7</v>
      </c>
      <c r="F28" s="217">
        <v>131935</v>
      </c>
    </row>
    <row r="29" spans="1:6" x14ac:dyDescent="0.25">
      <c r="A29" s="234">
        <v>2</v>
      </c>
      <c r="B29" s="150" t="s">
        <v>322</v>
      </c>
      <c r="C29" s="151" t="s">
        <v>312</v>
      </c>
      <c r="D29" s="197">
        <v>1</v>
      </c>
      <c r="E29" s="152">
        <f t="shared" ref="E29:E37" si="1">F29/D29</f>
        <v>90000</v>
      </c>
      <c r="F29" s="217">
        <v>90000</v>
      </c>
    </row>
    <row r="30" spans="1:6" ht="26.4" x14ac:dyDescent="0.25">
      <c r="A30" s="234">
        <v>3</v>
      </c>
      <c r="B30" s="150" t="s">
        <v>323</v>
      </c>
      <c r="C30" s="151" t="s">
        <v>214</v>
      </c>
      <c r="D30" s="197">
        <v>12</v>
      </c>
      <c r="E30" s="152">
        <f t="shared" si="1"/>
        <v>1099.33</v>
      </c>
      <c r="F30" s="217">
        <v>13191.96</v>
      </c>
    </row>
    <row r="31" spans="1:6" ht="26.4" x14ac:dyDescent="0.25">
      <c r="A31" s="234">
        <v>4</v>
      </c>
      <c r="B31" s="150" t="s">
        <v>324</v>
      </c>
      <c r="C31" s="151" t="s">
        <v>214</v>
      </c>
      <c r="D31" s="197">
        <v>12</v>
      </c>
      <c r="E31" s="152">
        <f t="shared" si="1"/>
        <v>946.71999999999991</v>
      </c>
      <c r="F31" s="217">
        <v>11360.64</v>
      </c>
    </row>
    <row r="32" spans="1:6" ht="26.4" x14ac:dyDescent="0.25">
      <c r="A32" s="234">
        <v>5</v>
      </c>
      <c r="B32" s="150" t="s">
        <v>325</v>
      </c>
      <c r="C32" s="151" t="s">
        <v>214</v>
      </c>
      <c r="D32" s="197">
        <v>12</v>
      </c>
      <c r="E32" s="152">
        <f t="shared" si="1"/>
        <v>3295.2000000000003</v>
      </c>
      <c r="F32" s="217">
        <v>39542.400000000001</v>
      </c>
    </row>
    <row r="33" spans="1:6" ht="26.4" x14ac:dyDescent="0.25">
      <c r="A33" s="234">
        <v>6</v>
      </c>
      <c r="B33" s="150" t="s">
        <v>329</v>
      </c>
      <c r="C33" s="151" t="s">
        <v>214</v>
      </c>
      <c r="D33" s="197">
        <v>12</v>
      </c>
      <c r="E33" s="152">
        <f t="shared" si="1"/>
        <v>5368.333333333333</v>
      </c>
      <c r="F33" s="217">
        <v>64420</v>
      </c>
    </row>
    <row r="34" spans="1:6" ht="26.4" x14ac:dyDescent="0.25">
      <c r="A34" s="234">
        <v>7</v>
      </c>
      <c r="B34" s="150" t="s">
        <v>330</v>
      </c>
      <c r="C34" s="151" t="s">
        <v>214</v>
      </c>
      <c r="D34" s="197">
        <v>12</v>
      </c>
      <c r="E34" s="152">
        <f t="shared" si="1"/>
        <v>3776.5333333333333</v>
      </c>
      <c r="F34" s="217">
        <v>45318.400000000001</v>
      </c>
    </row>
    <row r="35" spans="1:6" ht="26.4" x14ac:dyDescent="0.25">
      <c r="A35" s="234">
        <v>8</v>
      </c>
      <c r="B35" s="150" t="s">
        <v>326</v>
      </c>
      <c r="C35" s="151" t="s">
        <v>214</v>
      </c>
      <c r="D35" s="197">
        <v>12</v>
      </c>
      <c r="E35" s="152">
        <f t="shared" si="1"/>
        <v>3786.8799999999997</v>
      </c>
      <c r="F35" s="217">
        <v>45442.559999999998</v>
      </c>
    </row>
    <row r="36" spans="1:6" ht="26.4" x14ac:dyDescent="0.25">
      <c r="A36" s="234">
        <v>9</v>
      </c>
      <c r="B36" s="150" t="s">
        <v>327</v>
      </c>
      <c r="C36" s="151" t="s">
        <v>215</v>
      </c>
      <c r="D36" s="197">
        <v>1</v>
      </c>
      <c r="E36" s="152">
        <f t="shared" si="1"/>
        <v>11700</v>
      </c>
      <c r="F36" s="217">
        <v>11700</v>
      </c>
    </row>
    <row r="37" spans="1:6" x14ac:dyDescent="0.25">
      <c r="A37" s="234">
        <v>10</v>
      </c>
      <c r="B37" s="150" t="s">
        <v>328</v>
      </c>
      <c r="C37" s="151" t="s">
        <v>216</v>
      </c>
      <c r="D37" s="197">
        <v>10</v>
      </c>
      <c r="E37" s="152">
        <f t="shared" si="1"/>
        <v>6600</v>
      </c>
      <c r="F37" s="217">
        <v>66000</v>
      </c>
    </row>
    <row r="38" spans="1:6" x14ac:dyDescent="0.25">
      <c r="A38" s="13"/>
      <c r="B38" s="336" t="s">
        <v>234</v>
      </c>
      <c r="C38" s="336"/>
      <c r="D38" s="336"/>
      <c r="E38" s="336"/>
      <c r="F38" s="154">
        <f>F27-F15</f>
        <v>0</v>
      </c>
    </row>
  </sheetData>
  <mergeCells count="14">
    <mergeCell ref="A7:F7"/>
    <mergeCell ref="C1:E1"/>
    <mergeCell ref="C2:F2"/>
    <mergeCell ref="C3:E3"/>
    <mergeCell ref="A5:F5"/>
    <mergeCell ref="A6:F6"/>
    <mergeCell ref="B27:E27"/>
    <mergeCell ref="B38:E38"/>
    <mergeCell ref="A8:F8"/>
    <mergeCell ref="A9:F9"/>
    <mergeCell ref="A10:F10"/>
    <mergeCell ref="B12:B13"/>
    <mergeCell ref="C12:C13"/>
    <mergeCell ref="B15:E15"/>
  </mergeCells>
  <pageMargins left="0.17" right="0.17" top="0.75" bottom="0.28999999999999998" header="0.3" footer="0.3"/>
  <pageSetup paperSize="9" scale="9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  <pageSetUpPr fitToPage="1"/>
  </sheetPr>
  <dimension ref="A1:G34"/>
  <sheetViews>
    <sheetView workbookViewId="0">
      <selection activeCell="A11" sqref="A11"/>
    </sheetView>
  </sheetViews>
  <sheetFormatPr defaultColWidth="9.109375" defaultRowHeight="13.2" x14ac:dyDescent="0.25"/>
  <cols>
    <col min="1" max="1" width="9.109375" style="62"/>
    <col min="2" max="2" width="25.88671875" style="62" customWidth="1"/>
    <col min="3" max="3" width="12.33203125" style="62" customWidth="1"/>
    <col min="4" max="4" width="17.5546875" style="62" customWidth="1"/>
    <col min="5" max="5" width="17.6640625" style="62" customWidth="1"/>
    <col min="6" max="6" width="17" style="62" customWidth="1"/>
    <col min="7" max="16384" width="9.109375" style="62"/>
  </cols>
  <sheetData>
    <row r="1" spans="1:7" s="72" customFormat="1" ht="15.6" x14ac:dyDescent="0.3">
      <c r="C1" s="326" t="s">
        <v>182</v>
      </c>
      <c r="D1" s="326"/>
      <c r="E1" s="326"/>
      <c r="F1" s="156"/>
    </row>
    <row r="2" spans="1:7" s="72" customFormat="1" ht="50.25" customHeight="1" x14ac:dyDescent="0.3">
      <c r="C2" s="327" t="s">
        <v>381</v>
      </c>
      <c r="D2" s="327"/>
      <c r="E2" s="327"/>
      <c r="F2" s="327"/>
    </row>
    <row r="3" spans="1:7" s="72" customFormat="1" ht="15.6" x14ac:dyDescent="0.3">
      <c r="C3" s="335" t="s">
        <v>238</v>
      </c>
      <c r="D3" s="335"/>
      <c r="E3" s="335"/>
    </row>
    <row r="4" spans="1:7" s="72" customFormat="1" ht="15.6" x14ac:dyDescent="0.3">
      <c r="C4" s="144"/>
      <c r="D4" s="144"/>
      <c r="E4" s="144"/>
    </row>
    <row r="5" spans="1:7" s="72" customFormat="1" ht="15.6" x14ac:dyDescent="0.3">
      <c r="A5" s="312" t="s">
        <v>240</v>
      </c>
      <c r="B5" s="312"/>
      <c r="C5" s="312"/>
      <c r="D5" s="312"/>
      <c r="E5" s="312"/>
      <c r="F5" s="312"/>
    </row>
    <row r="6" spans="1:7" s="72" customFormat="1" ht="15.6" x14ac:dyDescent="0.3">
      <c r="A6" s="329">
        <v>45666</v>
      </c>
      <c r="B6" s="329"/>
      <c r="C6" s="329"/>
      <c r="D6" s="329"/>
      <c r="E6" s="329"/>
      <c r="F6" s="329"/>
    </row>
    <row r="7" spans="1:7" s="72" customFormat="1" ht="15.6" x14ac:dyDescent="0.3">
      <c r="A7" s="330"/>
      <c r="B7" s="330"/>
      <c r="C7" s="330"/>
      <c r="D7" s="330"/>
      <c r="E7" s="330"/>
      <c r="F7" s="330"/>
    </row>
    <row r="8" spans="1:7" s="72" customFormat="1" ht="15.6" x14ac:dyDescent="0.3">
      <c r="A8" s="328" t="s">
        <v>165</v>
      </c>
      <c r="B8" s="328"/>
      <c r="C8" s="328"/>
      <c r="D8" s="328"/>
      <c r="E8" s="328"/>
      <c r="F8" s="328"/>
    </row>
    <row r="9" spans="1:7" s="72" customFormat="1" ht="15.6" x14ac:dyDescent="0.3">
      <c r="A9" s="312" t="s">
        <v>344</v>
      </c>
      <c r="B9" s="312"/>
      <c r="C9" s="312"/>
      <c r="D9" s="312"/>
      <c r="E9" s="312"/>
      <c r="F9" s="312"/>
      <c r="G9" s="73"/>
    </row>
    <row r="10" spans="1:7" s="72" customFormat="1" ht="15.6" x14ac:dyDescent="0.3">
      <c r="A10" s="311" t="s">
        <v>430</v>
      </c>
      <c r="B10" s="311"/>
      <c r="C10" s="311"/>
      <c r="D10" s="311"/>
      <c r="E10" s="311"/>
      <c r="F10" s="311"/>
    </row>
    <row r="11" spans="1:7" ht="16.5" customHeight="1" x14ac:dyDescent="0.25"/>
    <row r="12" spans="1:7" x14ac:dyDescent="0.25">
      <c r="A12" s="22" t="s">
        <v>140</v>
      </c>
      <c r="B12" s="313" t="s">
        <v>113</v>
      </c>
      <c r="C12" s="337" t="s">
        <v>159</v>
      </c>
      <c r="D12" s="22" t="s">
        <v>166</v>
      </c>
      <c r="E12" s="22" t="s">
        <v>167</v>
      </c>
      <c r="F12" s="22" t="s">
        <v>120</v>
      </c>
    </row>
    <row r="13" spans="1:7" x14ac:dyDescent="0.25">
      <c r="A13" s="23" t="s">
        <v>141</v>
      </c>
      <c r="B13" s="313"/>
      <c r="C13" s="338"/>
      <c r="D13" s="23" t="s">
        <v>154</v>
      </c>
      <c r="E13" s="23" t="s">
        <v>157</v>
      </c>
      <c r="F13" s="23" t="s">
        <v>153</v>
      </c>
    </row>
    <row r="14" spans="1:7" x14ac:dyDescent="0.25">
      <c r="A14" s="23">
        <v>1</v>
      </c>
      <c r="B14" s="23">
        <v>2</v>
      </c>
      <c r="C14" s="23">
        <v>3</v>
      </c>
      <c r="D14" s="23">
        <v>4</v>
      </c>
      <c r="E14" s="23">
        <v>5</v>
      </c>
      <c r="F14" s="149">
        <v>6</v>
      </c>
    </row>
    <row r="15" spans="1:7" x14ac:dyDescent="0.25">
      <c r="A15" s="23"/>
      <c r="B15" s="336" t="s">
        <v>232</v>
      </c>
      <c r="C15" s="336"/>
      <c r="D15" s="336"/>
      <c r="E15" s="336"/>
      <c r="F15" s="154">
        <f>F24</f>
        <v>393591.08</v>
      </c>
    </row>
    <row r="16" spans="1:7" x14ac:dyDescent="0.25">
      <c r="A16" s="197">
        <v>1</v>
      </c>
      <c r="B16" s="150" t="s">
        <v>316</v>
      </c>
      <c r="C16" s="151" t="s">
        <v>215</v>
      </c>
      <c r="D16" s="197">
        <v>400</v>
      </c>
      <c r="E16" s="152">
        <f t="shared" ref="E16:E22" si="0">F16/D16</f>
        <v>100</v>
      </c>
      <c r="F16" s="217">
        <v>40000</v>
      </c>
    </row>
    <row r="17" spans="1:7" x14ac:dyDescent="0.25">
      <c r="A17" s="197">
        <v>2</v>
      </c>
      <c r="B17" s="150" t="s">
        <v>217</v>
      </c>
      <c r="C17" s="151" t="s">
        <v>215</v>
      </c>
      <c r="D17" s="197">
        <v>200</v>
      </c>
      <c r="E17" s="152">
        <f t="shared" si="0"/>
        <v>200</v>
      </c>
      <c r="F17" s="217">
        <v>40000</v>
      </c>
    </row>
    <row r="18" spans="1:7" x14ac:dyDescent="0.25">
      <c r="A18" s="197">
        <v>3</v>
      </c>
      <c r="B18" s="150" t="s">
        <v>317</v>
      </c>
      <c r="C18" s="151" t="s">
        <v>215</v>
      </c>
      <c r="D18" s="197">
        <v>40</v>
      </c>
      <c r="E18" s="152">
        <f t="shared" si="0"/>
        <v>1000</v>
      </c>
      <c r="F18" s="217">
        <v>40000</v>
      </c>
    </row>
    <row r="19" spans="1:7" x14ac:dyDescent="0.25">
      <c r="A19" s="197">
        <v>4</v>
      </c>
      <c r="B19" s="150" t="s">
        <v>318</v>
      </c>
      <c r="C19" s="151" t="s">
        <v>215</v>
      </c>
      <c r="D19" s="197">
        <v>80</v>
      </c>
      <c r="E19" s="152">
        <f t="shared" si="0"/>
        <v>1000</v>
      </c>
      <c r="F19" s="217">
        <v>80000</v>
      </c>
    </row>
    <row r="20" spans="1:7" x14ac:dyDescent="0.25">
      <c r="A20" s="197">
        <v>5</v>
      </c>
      <c r="B20" s="150" t="s">
        <v>319</v>
      </c>
      <c r="C20" s="151" t="s">
        <v>314</v>
      </c>
      <c r="D20" s="197">
        <v>1</v>
      </c>
      <c r="E20" s="152">
        <f t="shared" si="0"/>
        <v>40000</v>
      </c>
      <c r="F20" s="217">
        <v>40000</v>
      </c>
    </row>
    <row r="21" spans="1:7" x14ac:dyDescent="0.25">
      <c r="A21" s="197">
        <v>6</v>
      </c>
      <c r="B21" s="150" t="s">
        <v>425</v>
      </c>
      <c r="C21" s="151" t="s">
        <v>314</v>
      </c>
      <c r="D21" s="197">
        <v>1</v>
      </c>
      <c r="E21" s="152">
        <f t="shared" si="0"/>
        <v>56000</v>
      </c>
      <c r="F21" s="217">
        <v>56000</v>
      </c>
    </row>
    <row r="22" spans="1:7" x14ac:dyDescent="0.25">
      <c r="A22" s="197">
        <v>7</v>
      </c>
      <c r="B22" s="150" t="s">
        <v>426</v>
      </c>
      <c r="C22" s="151" t="s">
        <v>314</v>
      </c>
      <c r="D22" s="197">
        <v>2</v>
      </c>
      <c r="E22" s="152">
        <f t="shared" si="0"/>
        <v>7000</v>
      </c>
      <c r="F22" s="217">
        <v>14000</v>
      </c>
    </row>
    <row r="23" spans="1:7" x14ac:dyDescent="0.25">
      <c r="A23" s="197">
        <v>8</v>
      </c>
      <c r="B23" s="150" t="s">
        <v>427</v>
      </c>
      <c r="C23" s="151" t="s">
        <v>314</v>
      </c>
      <c r="D23" s="197">
        <v>1</v>
      </c>
      <c r="E23" s="152">
        <f>F23/D23</f>
        <v>83591.08</v>
      </c>
      <c r="F23" s="217">
        <v>83591.08</v>
      </c>
    </row>
    <row r="24" spans="1:7" ht="15" hidden="1" customHeight="1" x14ac:dyDescent="0.25">
      <c r="A24" s="13"/>
      <c r="B24" s="13" t="s">
        <v>112</v>
      </c>
      <c r="C24" s="151"/>
      <c r="D24" s="151">
        <f t="shared" ref="D24:E24" si="1">SUM(D16:D23)</f>
        <v>725</v>
      </c>
      <c r="E24" s="12">
        <f t="shared" si="1"/>
        <v>188891.08000000002</v>
      </c>
      <c r="F24" s="12">
        <f>SUM(F16:F23)</f>
        <v>393591.08</v>
      </c>
      <c r="G24" s="155"/>
    </row>
    <row r="25" spans="1:7" ht="15" customHeight="1" x14ac:dyDescent="0.25">
      <c r="A25" s="23"/>
      <c r="B25" s="336" t="s">
        <v>233</v>
      </c>
      <c r="C25" s="336"/>
      <c r="D25" s="336"/>
      <c r="E25" s="336"/>
      <c r="F25" s="154">
        <f>SUM(F26:F33)</f>
        <v>393591.08</v>
      </c>
    </row>
    <row r="26" spans="1:7" x14ac:dyDescent="0.25">
      <c r="A26" s="197">
        <v>1</v>
      </c>
      <c r="B26" s="150" t="s">
        <v>316</v>
      </c>
      <c r="C26" s="151" t="s">
        <v>215</v>
      </c>
      <c r="D26" s="197">
        <v>400</v>
      </c>
      <c r="E26" s="152">
        <f t="shared" ref="E26:E32" si="2">F26/D26</f>
        <v>100</v>
      </c>
      <c r="F26" s="217">
        <v>40000</v>
      </c>
    </row>
    <row r="27" spans="1:7" x14ac:dyDescent="0.25">
      <c r="A27" s="197">
        <v>2</v>
      </c>
      <c r="B27" s="150" t="s">
        <v>217</v>
      </c>
      <c r="C27" s="151" t="s">
        <v>215</v>
      </c>
      <c r="D27" s="197">
        <v>200</v>
      </c>
      <c r="E27" s="152">
        <f t="shared" si="2"/>
        <v>200</v>
      </c>
      <c r="F27" s="217">
        <v>40000</v>
      </c>
    </row>
    <row r="28" spans="1:7" x14ac:dyDescent="0.25">
      <c r="A28" s="197">
        <v>3</v>
      </c>
      <c r="B28" s="150" t="s">
        <v>317</v>
      </c>
      <c r="C28" s="151" t="s">
        <v>215</v>
      </c>
      <c r="D28" s="197">
        <v>40</v>
      </c>
      <c r="E28" s="152">
        <f t="shared" si="2"/>
        <v>1000</v>
      </c>
      <c r="F28" s="217">
        <v>40000</v>
      </c>
    </row>
    <row r="29" spans="1:7" x14ac:dyDescent="0.25">
      <c r="A29" s="197">
        <v>4</v>
      </c>
      <c r="B29" s="150" t="s">
        <v>318</v>
      </c>
      <c r="C29" s="151" t="s">
        <v>215</v>
      </c>
      <c r="D29" s="197">
        <v>80</v>
      </c>
      <c r="E29" s="152">
        <f t="shared" si="2"/>
        <v>1000</v>
      </c>
      <c r="F29" s="217">
        <v>80000</v>
      </c>
    </row>
    <row r="30" spans="1:7" x14ac:dyDescent="0.25">
      <c r="A30" s="197">
        <v>5</v>
      </c>
      <c r="B30" s="150" t="s">
        <v>319</v>
      </c>
      <c r="C30" s="151" t="s">
        <v>314</v>
      </c>
      <c r="D30" s="197">
        <v>1</v>
      </c>
      <c r="E30" s="152">
        <f t="shared" si="2"/>
        <v>40000</v>
      </c>
      <c r="F30" s="217">
        <v>40000</v>
      </c>
    </row>
    <row r="31" spans="1:7" x14ac:dyDescent="0.25">
      <c r="A31" s="197">
        <v>6</v>
      </c>
      <c r="B31" s="150" t="s">
        <v>425</v>
      </c>
      <c r="C31" s="151" t="s">
        <v>314</v>
      </c>
      <c r="D31" s="197">
        <v>1</v>
      </c>
      <c r="E31" s="152">
        <f t="shared" si="2"/>
        <v>56000</v>
      </c>
      <c r="F31" s="217">
        <v>56000</v>
      </c>
    </row>
    <row r="32" spans="1:7" x14ac:dyDescent="0.25">
      <c r="A32" s="197">
        <v>7</v>
      </c>
      <c r="B32" s="150" t="s">
        <v>426</v>
      </c>
      <c r="C32" s="151" t="s">
        <v>314</v>
      </c>
      <c r="D32" s="197">
        <v>2</v>
      </c>
      <c r="E32" s="152">
        <f t="shared" si="2"/>
        <v>7000</v>
      </c>
      <c r="F32" s="217">
        <v>14000</v>
      </c>
    </row>
    <row r="33" spans="1:6" x14ac:dyDescent="0.25">
      <c r="A33" s="197">
        <v>8</v>
      </c>
      <c r="B33" s="150" t="s">
        <v>427</v>
      </c>
      <c r="C33" s="151" t="s">
        <v>314</v>
      </c>
      <c r="D33" s="197">
        <v>1</v>
      </c>
      <c r="E33" s="152">
        <f>F33/D33</f>
        <v>83591.08</v>
      </c>
      <c r="F33" s="217">
        <v>83591.08</v>
      </c>
    </row>
    <row r="34" spans="1:6" ht="15" customHeight="1" x14ac:dyDescent="0.25">
      <c r="A34" s="13"/>
      <c r="B34" s="336" t="s">
        <v>234</v>
      </c>
      <c r="C34" s="336"/>
      <c r="D34" s="336"/>
      <c r="E34" s="336"/>
      <c r="F34" s="154">
        <f>F25-F15</f>
        <v>0</v>
      </c>
    </row>
  </sheetData>
  <mergeCells count="14">
    <mergeCell ref="C1:E1"/>
    <mergeCell ref="C3:E3"/>
    <mergeCell ref="C2:F2"/>
    <mergeCell ref="B25:E25"/>
    <mergeCell ref="B34:E34"/>
    <mergeCell ref="B15:E15"/>
    <mergeCell ref="A5:F5"/>
    <mergeCell ref="A6:F6"/>
    <mergeCell ref="A7:F7"/>
    <mergeCell ref="A8:F8"/>
    <mergeCell ref="A9:F9"/>
    <mergeCell ref="A10:F10"/>
    <mergeCell ref="B12:B13"/>
    <mergeCell ref="C12:C13"/>
  </mergeCells>
  <pageMargins left="0.17" right="0.17" top="0.75" bottom="0.28999999999999998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  <pageSetUpPr fitToPage="1"/>
  </sheetPr>
  <dimension ref="A1:P24"/>
  <sheetViews>
    <sheetView workbookViewId="0">
      <selection activeCell="F31" sqref="F31"/>
    </sheetView>
  </sheetViews>
  <sheetFormatPr defaultRowHeight="14.4" x14ac:dyDescent="0.3"/>
  <cols>
    <col min="2" max="2" width="25.88671875" customWidth="1"/>
    <col min="3" max="3" width="12.33203125" customWidth="1"/>
    <col min="4" max="4" width="17.5546875" customWidth="1"/>
    <col min="5" max="5" width="17.6640625" customWidth="1"/>
    <col min="6" max="6" width="17" customWidth="1"/>
  </cols>
  <sheetData>
    <row r="1" spans="1:16" x14ac:dyDescent="0.3">
      <c r="C1" s="314" t="s">
        <v>182</v>
      </c>
      <c r="D1" s="314"/>
      <c r="E1" s="314"/>
      <c r="F1" s="140"/>
      <c r="L1" s="1"/>
      <c r="M1" s="1"/>
      <c r="N1" s="1"/>
    </row>
    <row r="2" spans="1:16" ht="49.5" customHeight="1" x14ac:dyDescent="0.3">
      <c r="C2" s="334" t="s">
        <v>381</v>
      </c>
      <c r="D2" s="334"/>
      <c r="E2" s="334"/>
      <c r="F2" s="143"/>
      <c r="L2" s="1"/>
      <c r="M2" s="1"/>
      <c r="N2" s="1"/>
    </row>
    <row r="3" spans="1:16" ht="15.6" x14ac:dyDescent="0.3">
      <c r="C3" s="335" t="s">
        <v>238</v>
      </c>
      <c r="D3" s="335"/>
      <c r="E3" s="335"/>
      <c r="F3" s="72"/>
      <c r="L3" s="1"/>
      <c r="M3" s="1"/>
      <c r="N3" s="1"/>
      <c r="O3" s="1"/>
      <c r="P3" s="1"/>
    </row>
    <row r="4" spans="1:16" ht="15.6" x14ac:dyDescent="0.3">
      <c r="C4" s="144"/>
      <c r="D4" s="144"/>
      <c r="E4" s="144"/>
      <c r="F4" s="72"/>
      <c r="L4" s="1"/>
      <c r="M4" s="1"/>
      <c r="N4" s="1"/>
      <c r="O4" s="1"/>
      <c r="P4" s="1"/>
    </row>
    <row r="5" spans="1:16" ht="15.6" x14ac:dyDescent="0.3">
      <c r="A5" s="312" t="s">
        <v>240</v>
      </c>
      <c r="B5" s="312"/>
      <c r="C5" s="312"/>
      <c r="D5" s="312"/>
      <c r="E5" s="312"/>
      <c r="F5" s="73"/>
      <c r="L5" s="1"/>
      <c r="M5" s="1"/>
      <c r="N5" s="1"/>
      <c r="O5" s="1"/>
      <c r="P5" s="1"/>
    </row>
    <row r="6" spans="1:16" ht="15.6" x14ac:dyDescent="0.3">
      <c r="A6" s="329">
        <v>45666</v>
      </c>
      <c r="B6" s="329"/>
      <c r="C6" s="329"/>
      <c r="D6" s="329"/>
      <c r="E6" s="329"/>
      <c r="F6" s="115"/>
      <c r="L6" s="1"/>
      <c r="M6" s="1"/>
      <c r="N6" s="1"/>
      <c r="O6" s="1"/>
      <c r="P6" s="1"/>
    </row>
    <row r="7" spans="1:16" ht="15.6" x14ac:dyDescent="0.3">
      <c r="D7" s="113"/>
      <c r="E7" s="72"/>
      <c r="F7" s="72"/>
      <c r="L7" s="1"/>
      <c r="M7" s="1"/>
      <c r="N7" s="1"/>
      <c r="O7" s="1"/>
      <c r="P7" s="1"/>
    </row>
    <row r="8" spans="1:16" ht="17.399999999999999" x14ac:dyDescent="0.3">
      <c r="B8" s="316" t="s">
        <v>155</v>
      </c>
      <c r="C8" s="316"/>
      <c r="D8" s="316"/>
      <c r="E8" s="316"/>
      <c r="P8" s="1"/>
    </row>
    <row r="9" spans="1:16" s="72" customFormat="1" ht="15.6" x14ac:dyDescent="0.3">
      <c r="B9" s="345" t="s">
        <v>344</v>
      </c>
      <c r="C9" s="345"/>
      <c r="D9" s="345"/>
      <c r="E9" s="345"/>
      <c r="F9" s="73"/>
      <c r="G9" s="73"/>
    </row>
    <row r="10" spans="1:16" s="74" customFormat="1" ht="15.6" x14ac:dyDescent="0.3">
      <c r="B10" s="346" t="s">
        <v>231</v>
      </c>
      <c r="C10" s="346"/>
      <c r="D10" s="346"/>
      <c r="E10" s="346"/>
    </row>
    <row r="11" spans="1:16" ht="16.5" customHeight="1" x14ac:dyDescent="0.3"/>
    <row r="12" spans="1:16" ht="24" x14ac:dyDescent="0.3">
      <c r="A12" s="80" t="s">
        <v>140</v>
      </c>
      <c r="B12" s="257" t="s">
        <v>113</v>
      </c>
      <c r="C12" s="289" t="s">
        <v>159</v>
      </c>
      <c r="D12" s="80" t="s">
        <v>156</v>
      </c>
      <c r="E12" s="80" t="s">
        <v>158</v>
      </c>
      <c r="F12" s="80" t="s">
        <v>120</v>
      </c>
    </row>
    <row r="13" spans="1:16" x14ac:dyDescent="0.3">
      <c r="A13" s="82" t="s">
        <v>141</v>
      </c>
      <c r="B13" s="257"/>
      <c r="C13" s="350"/>
      <c r="D13" s="82" t="s">
        <v>154</v>
      </c>
      <c r="E13" s="82" t="s">
        <v>157</v>
      </c>
      <c r="F13" s="82" t="s">
        <v>153</v>
      </c>
    </row>
    <row r="14" spans="1:16" x14ac:dyDescent="0.3">
      <c r="A14" s="82">
        <v>1</v>
      </c>
      <c r="B14" s="81">
        <v>2</v>
      </c>
      <c r="C14" s="81">
        <v>3</v>
      </c>
      <c r="D14" s="81">
        <v>4</v>
      </c>
      <c r="E14" s="81">
        <v>5</v>
      </c>
      <c r="F14" s="17">
        <v>6</v>
      </c>
    </row>
    <row r="15" spans="1:16" x14ac:dyDescent="0.3">
      <c r="A15" s="82"/>
      <c r="B15" s="347" t="s">
        <v>232</v>
      </c>
      <c r="C15" s="347"/>
      <c r="D15" s="347"/>
      <c r="E15" s="347"/>
      <c r="F15" s="112">
        <f>F19</f>
        <v>127700</v>
      </c>
    </row>
    <row r="16" spans="1:16" ht="24" x14ac:dyDescent="0.3">
      <c r="A16" s="195">
        <v>1</v>
      </c>
      <c r="B16" s="207" t="s">
        <v>235</v>
      </c>
      <c r="C16" s="14" t="s">
        <v>215</v>
      </c>
      <c r="D16" s="195">
        <v>2</v>
      </c>
      <c r="E16" s="76">
        <v>2000</v>
      </c>
      <c r="F16" s="8">
        <f>E16*D16</f>
        <v>4000</v>
      </c>
    </row>
    <row r="17" spans="1:6" ht="36" x14ac:dyDescent="0.3">
      <c r="A17" s="195">
        <v>2</v>
      </c>
      <c r="B17" s="207" t="s">
        <v>236</v>
      </c>
      <c r="C17" s="14" t="s">
        <v>215</v>
      </c>
      <c r="D17" s="195">
        <v>2</v>
      </c>
      <c r="E17" s="76">
        <v>46850</v>
      </c>
      <c r="F17" s="8">
        <f t="shared" ref="F17:F18" si="0">E17*D17</f>
        <v>93700</v>
      </c>
    </row>
    <row r="18" spans="1:6" ht="36" x14ac:dyDescent="0.3">
      <c r="A18" s="195">
        <v>3</v>
      </c>
      <c r="B18" s="207" t="s">
        <v>237</v>
      </c>
      <c r="C18" s="14" t="s">
        <v>215</v>
      </c>
      <c r="D18" s="195">
        <f>12*25</f>
        <v>300</v>
      </c>
      <c r="E18" s="76">
        <v>100</v>
      </c>
      <c r="F18" s="8">
        <f t="shared" si="0"/>
        <v>30000</v>
      </c>
    </row>
    <row r="19" spans="1:6" hidden="1" x14ac:dyDescent="0.3">
      <c r="A19" s="7"/>
      <c r="B19" s="7" t="s">
        <v>112</v>
      </c>
      <c r="C19" s="14"/>
      <c r="D19" s="14">
        <f>SUM(D16:D18)</f>
        <v>304</v>
      </c>
      <c r="E19" s="8">
        <f>SUM(E16:E18)</f>
        <v>48950</v>
      </c>
      <c r="F19" s="8">
        <f>SUM(F16:F18)</f>
        <v>127700</v>
      </c>
    </row>
    <row r="20" spans="1:6" x14ac:dyDescent="0.3">
      <c r="A20" s="82"/>
      <c r="B20" s="347" t="s">
        <v>233</v>
      </c>
      <c r="C20" s="347"/>
      <c r="D20" s="347"/>
      <c r="E20" s="347"/>
      <c r="F20" s="112">
        <f>SUM(F21:F23)</f>
        <v>127700</v>
      </c>
    </row>
    <row r="21" spans="1:6" ht="24" x14ac:dyDescent="0.3">
      <c r="A21" s="195">
        <v>1</v>
      </c>
      <c r="B21" s="207" t="s">
        <v>235</v>
      </c>
      <c r="C21" s="14" t="s">
        <v>215</v>
      </c>
      <c r="D21" s="195">
        <v>2</v>
      </c>
      <c r="E21" s="76">
        <v>2000</v>
      </c>
      <c r="F21" s="8">
        <f>E21*D21</f>
        <v>4000</v>
      </c>
    </row>
    <row r="22" spans="1:6" ht="36" x14ac:dyDescent="0.3">
      <c r="A22" s="195">
        <v>2</v>
      </c>
      <c r="B22" s="207" t="s">
        <v>236</v>
      </c>
      <c r="C22" s="14" t="s">
        <v>215</v>
      </c>
      <c r="D22" s="195">
        <v>2</v>
      </c>
      <c r="E22" s="76">
        <v>46850</v>
      </c>
      <c r="F22" s="8">
        <f t="shared" ref="F22:F23" si="1">E22*D22</f>
        <v>93700</v>
      </c>
    </row>
    <row r="23" spans="1:6" ht="36" x14ac:dyDescent="0.3">
      <c r="A23" s="195">
        <v>3</v>
      </c>
      <c r="B23" s="207" t="s">
        <v>237</v>
      </c>
      <c r="C23" s="14" t="s">
        <v>215</v>
      </c>
      <c r="D23" s="195">
        <f>12*25</f>
        <v>300</v>
      </c>
      <c r="E23" s="76">
        <v>100</v>
      </c>
      <c r="F23" s="8">
        <f t="shared" si="1"/>
        <v>30000</v>
      </c>
    </row>
    <row r="24" spans="1:6" x14ac:dyDescent="0.3">
      <c r="A24" s="7"/>
      <c r="B24" s="347" t="s">
        <v>234</v>
      </c>
      <c r="C24" s="347"/>
      <c r="D24" s="347"/>
      <c r="E24" s="347"/>
      <c r="F24" s="112">
        <f>F20-F15</f>
        <v>0</v>
      </c>
    </row>
  </sheetData>
  <mergeCells count="13">
    <mergeCell ref="B24:E24"/>
    <mergeCell ref="B12:B13"/>
    <mergeCell ref="C12:C13"/>
    <mergeCell ref="C1:E1"/>
    <mergeCell ref="C2:E2"/>
    <mergeCell ref="C3:E3"/>
    <mergeCell ref="A5:E5"/>
    <mergeCell ref="A6:E6"/>
    <mergeCell ref="B8:E8"/>
    <mergeCell ref="B9:E9"/>
    <mergeCell ref="B10:E10"/>
    <mergeCell ref="B15:E15"/>
    <mergeCell ref="B20:E20"/>
  </mergeCells>
  <pageMargins left="0.17" right="0.17" top="0.75" bottom="0.28999999999999998" header="0.3" footer="0.3"/>
  <pageSetup paperSize="9" fitToHeight="0" orientation="portrait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P22"/>
  <sheetViews>
    <sheetView workbookViewId="0">
      <selection activeCell="E26" sqref="E26"/>
    </sheetView>
  </sheetViews>
  <sheetFormatPr defaultRowHeight="14.4" x14ac:dyDescent="0.3"/>
  <cols>
    <col min="2" max="2" width="25.88671875" customWidth="1"/>
    <col min="3" max="3" width="12.33203125" customWidth="1"/>
    <col min="4" max="4" width="17.5546875" customWidth="1"/>
    <col min="5" max="5" width="17.6640625" customWidth="1"/>
    <col min="6" max="6" width="17" customWidth="1"/>
  </cols>
  <sheetData>
    <row r="1" spans="1:16" x14ac:dyDescent="0.3">
      <c r="C1" s="314" t="s">
        <v>182</v>
      </c>
      <c r="D1" s="314"/>
      <c r="E1" s="314"/>
      <c r="F1" s="185"/>
      <c r="L1" s="1"/>
      <c r="M1" s="1"/>
      <c r="N1" s="1"/>
    </row>
    <row r="2" spans="1:16" ht="49.5" customHeight="1" x14ac:dyDescent="0.3">
      <c r="C2" s="334" t="s">
        <v>381</v>
      </c>
      <c r="D2" s="334"/>
      <c r="E2" s="334"/>
      <c r="F2" s="187"/>
      <c r="L2" s="1"/>
      <c r="M2" s="1"/>
      <c r="N2" s="1"/>
    </row>
    <row r="3" spans="1:16" ht="15.6" x14ac:dyDescent="0.3">
      <c r="C3" s="335" t="s">
        <v>238</v>
      </c>
      <c r="D3" s="335"/>
      <c r="E3" s="335"/>
      <c r="F3" s="186"/>
      <c r="L3" s="1"/>
      <c r="M3" s="1"/>
      <c r="N3" s="1"/>
      <c r="O3" s="1"/>
      <c r="P3" s="1"/>
    </row>
    <row r="4" spans="1:16" ht="15.6" x14ac:dyDescent="0.3">
      <c r="C4" s="188"/>
      <c r="D4" s="188"/>
      <c r="E4" s="188"/>
      <c r="F4" s="186"/>
      <c r="L4" s="1"/>
      <c r="M4" s="1"/>
      <c r="N4" s="1"/>
      <c r="O4" s="1"/>
      <c r="P4" s="1"/>
    </row>
    <row r="5" spans="1:16" ht="15.6" x14ac:dyDescent="0.3">
      <c r="A5" s="312" t="s">
        <v>240</v>
      </c>
      <c r="B5" s="312"/>
      <c r="C5" s="312"/>
      <c r="D5" s="312"/>
      <c r="E5" s="312"/>
      <c r="F5" s="73"/>
      <c r="L5" s="1"/>
      <c r="M5" s="1"/>
      <c r="N5" s="1"/>
      <c r="O5" s="1"/>
      <c r="P5" s="1"/>
    </row>
    <row r="6" spans="1:16" ht="15.6" x14ac:dyDescent="0.3">
      <c r="A6" s="329">
        <v>45666</v>
      </c>
      <c r="B6" s="329"/>
      <c r="C6" s="329"/>
      <c r="D6" s="329"/>
      <c r="E6" s="329"/>
      <c r="F6" s="115"/>
      <c r="L6" s="1"/>
      <c r="M6" s="1"/>
      <c r="N6" s="1"/>
      <c r="O6" s="1"/>
      <c r="P6" s="1"/>
    </row>
    <row r="7" spans="1:16" ht="15.6" x14ac:dyDescent="0.3">
      <c r="D7" s="188"/>
      <c r="E7" s="186"/>
      <c r="F7" s="186"/>
      <c r="L7" s="1"/>
      <c r="M7" s="1"/>
      <c r="N7" s="1"/>
      <c r="O7" s="1"/>
      <c r="P7" s="1"/>
    </row>
    <row r="8" spans="1:16" ht="17.399999999999999" x14ac:dyDescent="0.3">
      <c r="B8" s="316" t="s">
        <v>155</v>
      </c>
      <c r="C8" s="316"/>
      <c r="D8" s="316"/>
      <c r="E8" s="316"/>
      <c r="P8" s="1"/>
    </row>
    <row r="9" spans="1:16" s="186" customFormat="1" ht="15.6" x14ac:dyDescent="0.3">
      <c r="B9" s="345" t="s">
        <v>344</v>
      </c>
      <c r="C9" s="345"/>
      <c r="D9" s="345"/>
      <c r="E9" s="345"/>
      <c r="F9" s="73"/>
      <c r="G9" s="73"/>
    </row>
    <row r="10" spans="1:16" s="74" customFormat="1" ht="15.6" x14ac:dyDescent="0.3">
      <c r="B10" s="346" t="s">
        <v>231</v>
      </c>
      <c r="C10" s="346"/>
      <c r="D10" s="346"/>
      <c r="E10" s="346"/>
    </row>
    <row r="11" spans="1:16" ht="16.5" customHeight="1" x14ac:dyDescent="0.3"/>
    <row r="12" spans="1:16" ht="24" x14ac:dyDescent="0.3">
      <c r="A12" s="183" t="s">
        <v>140</v>
      </c>
      <c r="B12" s="257" t="s">
        <v>113</v>
      </c>
      <c r="C12" s="289" t="s">
        <v>159</v>
      </c>
      <c r="D12" s="183" t="s">
        <v>156</v>
      </c>
      <c r="E12" s="183" t="s">
        <v>158</v>
      </c>
      <c r="F12" s="183" t="s">
        <v>120</v>
      </c>
    </row>
    <row r="13" spans="1:16" x14ac:dyDescent="0.3">
      <c r="A13" s="189" t="s">
        <v>141</v>
      </c>
      <c r="B13" s="257"/>
      <c r="C13" s="350"/>
      <c r="D13" s="189" t="s">
        <v>154</v>
      </c>
      <c r="E13" s="189" t="s">
        <v>157</v>
      </c>
      <c r="F13" s="189" t="s">
        <v>153</v>
      </c>
    </row>
    <row r="14" spans="1:16" x14ac:dyDescent="0.3">
      <c r="A14" s="189">
        <v>1</v>
      </c>
      <c r="B14" s="184">
        <v>2</v>
      </c>
      <c r="C14" s="184">
        <v>3</v>
      </c>
      <c r="D14" s="184">
        <v>4</v>
      </c>
      <c r="E14" s="184">
        <v>5</v>
      </c>
      <c r="F14" s="17">
        <v>6</v>
      </c>
    </row>
    <row r="15" spans="1:16" x14ac:dyDescent="0.3">
      <c r="A15" s="189"/>
      <c r="B15" s="347" t="s">
        <v>232</v>
      </c>
      <c r="C15" s="347"/>
      <c r="D15" s="347"/>
      <c r="E15" s="347"/>
      <c r="F15" s="190">
        <f>F18</f>
        <v>66600</v>
      </c>
    </row>
    <row r="16" spans="1:16" ht="36" x14ac:dyDescent="0.3">
      <c r="A16" s="195">
        <v>1</v>
      </c>
      <c r="B16" s="207" t="s">
        <v>391</v>
      </c>
      <c r="C16" s="14" t="s">
        <v>390</v>
      </c>
      <c r="D16" s="195">
        <v>600</v>
      </c>
      <c r="E16" s="76">
        <v>100</v>
      </c>
      <c r="F16" s="8">
        <f>D16*E16</f>
        <v>60000</v>
      </c>
      <c r="O16">
        <v>23</v>
      </c>
    </row>
    <row r="17" spans="1:16" ht="36" x14ac:dyDescent="0.3">
      <c r="A17" s="195">
        <v>2</v>
      </c>
      <c r="B17" s="207" t="s">
        <v>392</v>
      </c>
      <c r="C17" s="14" t="s">
        <v>390</v>
      </c>
      <c r="D17" s="195">
        <v>12</v>
      </c>
      <c r="E17" s="76">
        <v>550</v>
      </c>
      <c r="F17" s="8">
        <f>D17*E17</f>
        <v>6600</v>
      </c>
      <c r="N17">
        <f>SUM(N12:N16)</f>
        <v>0</v>
      </c>
      <c r="O17">
        <f t="shared" ref="O17:P17" si="0">SUM(O12:O16)</f>
        <v>23</v>
      </c>
      <c r="P17">
        <f t="shared" si="0"/>
        <v>0</v>
      </c>
    </row>
    <row r="18" spans="1:16" hidden="1" x14ac:dyDescent="0.3">
      <c r="A18" s="7"/>
      <c r="B18" s="7" t="s">
        <v>112</v>
      </c>
      <c r="C18" s="14"/>
      <c r="D18" s="14">
        <f>SUM(D16:D17)</f>
        <v>612</v>
      </c>
      <c r="E18" s="8">
        <f>SUM(E16:E17)</f>
        <v>650</v>
      </c>
      <c r="F18" s="8">
        <f>SUM(F16:F17)</f>
        <v>66600</v>
      </c>
    </row>
    <row r="19" spans="1:16" x14ac:dyDescent="0.3">
      <c r="A19" s="189"/>
      <c r="B19" s="347" t="s">
        <v>233</v>
      </c>
      <c r="C19" s="347"/>
      <c r="D19" s="347"/>
      <c r="E19" s="347"/>
      <c r="F19" s="190">
        <f>SUM(F20:F21)</f>
        <v>66600</v>
      </c>
    </row>
    <row r="20" spans="1:16" ht="36" x14ac:dyDescent="0.3">
      <c r="A20" s="195">
        <v>1</v>
      </c>
      <c r="B20" s="207" t="s">
        <v>391</v>
      </c>
      <c r="C20" s="14" t="s">
        <v>390</v>
      </c>
      <c r="D20" s="195">
        <v>600</v>
      </c>
      <c r="E20" s="76">
        <v>100</v>
      </c>
      <c r="F20" s="8">
        <f>D20*E20</f>
        <v>60000</v>
      </c>
      <c r="O20">
        <v>23</v>
      </c>
    </row>
    <row r="21" spans="1:16" ht="36" x14ac:dyDescent="0.3">
      <c r="A21" s="195">
        <v>2</v>
      </c>
      <c r="B21" s="207" t="s">
        <v>392</v>
      </c>
      <c r="C21" s="14" t="s">
        <v>390</v>
      </c>
      <c r="D21" s="195">
        <v>12</v>
      </c>
      <c r="E21" s="76">
        <v>550</v>
      </c>
      <c r="F21" s="8">
        <f>D21*E21</f>
        <v>6600</v>
      </c>
      <c r="N21">
        <f>SUM(N16:N20)</f>
        <v>0</v>
      </c>
      <c r="O21">
        <f t="shared" ref="O21:P21" si="1">SUM(O16:O20)</f>
        <v>69</v>
      </c>
      <c r="P21">
        <f t="shared" si="1"/>
        <v>0</v>
      </c>
    </row>
    <row r="22" spans="1:16" x14ac:dyDescent="0.3">
      <c r="A22" s="7"/>
      <c r="B22" s="347" t="s">
        <v>234</v>
      </c>
      <c r="C22" s="347"/>
      <c r="D22" s="347"/>
      <c r="E22" s="347"/>
      <c r="F22" s="190">
        <f>F19-F15</f>
        <v>0</v>
      </c>
    </row>
  </sheetData>
  <mergeCells count="13">
    <mergeCell ref="B8:E8"/>
    <mergeCell ref="C1:E1"/>
    <mergeCell ref="C2:E2"/>
    <mergeCell ref="C3:E3"/>
    <mergeCell ref="A5:E5"/>
    <mergeCell ref="A6:E6"/>
    <mergeCell ref="B22:E22"/>
    <mergeCell ref="B9:E9"/>
    <mergeCell ref="B10:E10"/>
    <mergeCell ref="B12:B13"/>
    <mergeCell ref="C12:C13"/>
    <mergeCell ref="B15:E15"/>
    <mergeCell ref="B19:E19"/>
  </mergeCells>
  <pageMargins left="0.17" right="0.17" top="0.75" bottom="0.28999999999999998" header="0.3" footer="0.3"/>
  <pageSetup paperSize="9" fitToHeight="0" orientation="portrait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39997558519241921"/>
    <pageSetUpPr fitToPage="1"/>
  </sheetPr>
  <dimension ref="A1:O41"/>
  <sheetViews>
    <sheetView view="pageBreakPreview" zoomScaleNormal="100" zoomScaleSheetLayoutView="100" workbookViewId="0">
      <selection activeCell="B11" sqref="B11"/>
    </sheetView>
  </sheetViews>
  <sheetFormatPr defaultRowHeight="14.4" x14ac:dyDescent="0.3"/>
  <cols>
    <col min="2" max="2" width="25.88671875" customWidth="1"/>
    <col min="3" max="3" width="18.6640625" customWidth="1"/>
    <col min="4" max="4" width="18.5546875" customWidth="1"/>
    <col min="5" max="5" width="10.6640625" customWidth="1"/>
    <col min="6" max="6" width="17" customWidth="1"/>
    <col min="13" max="13" width="16.109375" customWidth="1"/>
    <col min="14" max="14" width="14.6640625" customWidth="1"/>
  </cols>
  <sheetData>
    <row r="1" spans="1:15" x14ac:dyDescent="0.3">
      <c r="C1" s="314" t="s">
        <v>182</v>
      </c>
      <c r="D1" s="314"/>
      <c r="E1" s="314"/>
      <c r="F1" s="185"/>
      <c r="K1" s="1"/>
      <c r="L1" s="1"/>
      <c r="M1" s="1"/>
    </row>
    <row r="2" spans="1:15" ht="49.5" customHeight="1" x14ac:dyDescent="0.3">
      <c r="C2" s="334" t="s">
        <v>381</v>
      </c>
      <c r="D2" s="334"/>
      <c r="E2" s="334"/>
      <c r="F2" s="187"/>
      <c r="K2" s="1"/>
      <c r="L2" s="1"/>
      <c r="M2" s="1"/>
    </row>
    <row r="3" spans="1:15" ht="15.6" x14ac:dyDescent="0.3">
      <c r="C3" s="335" t="s">
        <v>238</v>
      </c>
      <c r="D3" s="335"/>
      <c r="E3" s="335"/>
      <c r="F3" s="186"/>
      <c r="K3" s="1"/>
      <c r="L3" s="1"/>
      <c r="M3" s="1"/>
      <c r="N3" s="1"/>
      <c r="O3" s="1"/>
    </row>
    <row r="4" spans="1:15" ht="15.6" x14ac:dyDescent="0.3">
      <c r="C4" s="188"/>
      <c r="D4" s="188"/>
      <c r="E4" s="188"/>
      <c r="F4" s="186"/>
      <c r="K4" s="1"/>
      <c r="L4" s="1"/>
      <c r="M4" s="1"/>
      <c r="N4" s="1"/>
      <c r="O4" s="1"/>
    </row>
    <row r="5" spans="1:15" ht="15.6" x14ac:dyDescent="0.3">
      <c r="A5" s="312" t="s">
        <v>240</v>
      </c>
      <c r="B5" s="312"/>
      <c r="C5" s="312"/>
      <c r="D5" s="312"/>
      <c r="E5" s="312"/>
      <c r="F5" s="73"/>
      <c r="K5" s="1"/>
      <c r="L5" s="1"/>
      <c r="M5" s="1"/>
      <c r="N5" s="1"/>
      <c r="O5" s="1"/>
    </row>
    <row r="6" spans="1:15" ht="15.6" x14ac:dyDescent="0.3">
      <c r="A6" s="329">
        <v>45666</v>
      </c>
      <c r="B6" s="329"/>
      <c r="C6" s="329"/>
      <c r="D6" s="329"/>
      <c r="E6" s="329"/>
      <c r="F6" s="115"/>
      <c r="K6" s="1"/>
      <c r="L6" s="1"/>
      <c r="M6" s="1"/>
      <c r="N6" s="1"/>
      <c r="O6" s="1"/>
    </row>
    <row r="7" spans="1:15" ht="15.6" x14ac:dyDescent="0.3">
      <c r="D7" s="188"/>
      <c r="E7" s="186"/>
      <c r="F7" s="186"/>
      <c r="K7" s="1"/>
      <c r="L7" s="1"/>
      <c r="M7" s="1"/>
      <c r="N7" s="1"/>
      <c r="O7" s="1"/>
    </row>
    <row r="8" spans="1:15" ht="17.399999999999999" x14ac:dyDescent="0.3">
      <c r="B8" s="316" t="s">
        <v>165</v>
      </c>
      <c r="C8" s="316"/>
      <c r="D8" s="316"/>
      <c r="E8" s="316"/>
      <c r="O8" s="1"/>
    </row>
    <row r="9" spans="1:15" s="186" customFormat="1" ht="15.6" x14ac:dyDescent="0.3">
      <c r="B9" s="345" t="s">
        <v>211</v>
      </c>
      <c r="C9" s="345"/>
      <c r="D9" s="345"/>
      <c r="E9" s="345"/>
      <c r="F9" s="73"/>
      <c r="G9" s="73"/>
    </row>
    <row r="10" spans="1:15" ht="15.6" x14ac:dyDescent="0.3">
      <c r="B10" s="346" t="s">
        <v>429</v>
      </c>
      <c r="C10" s="346"/>
      <c r="D10" s="346"/>
      <c r="E10" s="346"/>
      <c r="F10" s="74"/>
    </row>
    <row r="11" spans="1:15" ht="16.5" customHeight="1" x14ac:dyDescent="0.3"/>
    <row r="12" spans="1:15" x14ac:dyDescent="0.3">
      <c r="A12" s="183" t="s">
        <v>140</v>
      </c>
      <c r="B12" s="257" t="s">
        <v>113</v>
      </c>
      <c r="C12" s="289" t="s">
        <v>159</v>
      </c>
      <c r="D12" s="183" t="s">
        <v>166</v>
      </c>
      <c r="E12" s="183" t="s">
        <v>167</v>
      </c>
      <c r="F12" s="183" t="s">
        <v>120</v>
      </c>
    </row>
    <row r="13" spans="1:15" x14ac:dyDescent="0.3">
      <c r="A13" s="189" t="s">
        <v>141</v>
      </c>
      <c r="B13" s="257"/>
      <c r="C13" s="350"/>
      <c r="D13" s="189" t="s">
        <v>154</v>
      </c>
      <c r="E13" s="189" t="s">
        <v>157</v>
      </c>
      <c r="F13" s="189" t="s">
        <v>153</v>
      </c>
    </row>
    <row r="14" spans="1:15" x14ac:dyDescent="0.3">
      <c r="A14" s="189">
        <v>1</v>
      </c>
      <c r="B14" s="189">
        <v>2</v>
      </c>
      <c r="C14" s="189">
        <v>3</v>
      </c>
      <c r="D14" s="189">
        <v>4</v>
      </c>
      <c r="E14" s="189">
        <v>5</v>
      </c>
      <c r="F14" s="17">
        <v>6</v>
      </c>
    </row>
    <row r="15" spans="1:15" x14ac:dyDescent="0.3">
      <c r="A15" s="205"/>
      <c r="B15" s="347" t="s">
        <v>232</v>
      </c>
      <c r="C15" s="347"/>
      <c r="D15" s="347"/>
      <c r="E15" s="347"/>
      <c r="F15" s="206">
        <f>F24</f>
        <v>415700</v>
      </c>
      <c r="I15" s="19" t="s">
        <v>393</v>
      </c>
      <c r="J15" s="19" t="s">
        <v>394</v>
      </c>
      <c r="K15" s="19" t="s">
        <v>395</v>
      </c>
      <c r="L15" s="19" t="s">
        <v>396</v>
      </c>
      <c r="M15" s="19" t="s">
        <v>397</v>
      </c>
    </row>
    <row r="16" spans="1:15" s="169" customFormat="1" ht="26.25" customHeight="1" x14ac:dyDescent="0.25">
      <c r="A16" s="195">
        <v>1</v>
      </c>
      <c r="B16" s="207" t="s">
        <v>399</v>
      </c>
      <c r="C16" s="14" t="s">
        <v>428</v>
      </c>
      <c r="D16" s="20" t="str">
        <f t="shared" ref="D16:D21" si="0">CONCATENATE(I16,"*",J16,"*",K16,"/100","=",L16)</f>
        <v>65*68*15,73/100=695,27</v>
      </c>
      <c r="E16" s="76">
        <f t="shared" ref="E16:E21" si="1">IF(F16=0,0,F16/L16)</f>
        <v>50</v>
      </c>
      <c r="F16" s="8">
        <f t="shared" ref="F16:F21" si="2">N16</f>
        <v>34763.5</v>
      </c>
      <c r="I16" s="19">
        <v>65</v>
      </c>
      <c r="J16" s="19">
        <v>68</v>
      </c>
      <c r="K16" s="19">
        <v>15.73</v>
      </c>
      <c r="L16" s="19">
        <f>ROUND(I16*J16*K16/100,2)</f>
        <v>695.27</v>
      </c>
      <c r="M16" s="19">
        <v>50</v>
      </c>
      <c r="N16" s="76">
        <f>M16*L16</f>
        <v>34763.5</v>
      </c>
    </row>
    <row r="17" spans="1:14" s="169" customFormat="1" ht="26.25" customHeight="1" x14ac:dyDescent="0.25">
      <c r="A17" s="195">
        <v>2</v>
      </c>
      <c r="B17" s="207" t="s">
        <v>400</v>
      </c>
      <c r="C17" s="14" t="s">
        <v>428</v>
      </c>
      <c r="D17" s="20" t="str">
        <f t="shared" si="0"/>
        <v>41*68*12,65/100=352,68</v>
      </c>
      <c r="E17" s="76">
        <f t="shared" si="1"/>
        <v>65</v>
      </c>
      <c r="F17" s="8">
        <f t="shared" si="2"/>
        <v>22924.2</v>
      </c>
      <c r="I17" s="19">
        <v>41</v>
      </c>
      <c r="J17" s="19">
        <v>68</v>
      </c>
      <c r="K17" s="19">
        <v>12.65</v>
      </c>
      <c r="L17" s="19">
        <f>ROUND(I17*J17*K17/100,2)</f>
        <v>352.68</v>
      </c>
      <c r="M17" s="19">
        <v>65</v>
      </c>
      <c r="N17" s="76">
        <f>M17*L17</f>
        <v>22924.2</v>
      </c>
    </row>
    <row r="18" spans="1:14" s="169" customFormat="1" ht="26.25" customHeight="1" x14ac:dyDescent="0.25">
      <c r="A18" s="195">
        <v>3</v>
      </c>
      <c r="B18" s="207" t="s">
        <v>401</v>
      </c>
      <c r="C18" s="14" t="s">
        <v>428</v>
      </c>
      <c r="D18" s="20" t="str">
        <f t="shared" si="0"/>
        <v>65*94*14,3/100=873,73</v>
      </c>
      <c r="E18" s="76">
        <f t="shared" si="1"/>
        <v>50</v>
      </c>
      <c r="F18" s="8">
        <f t="shared" si="2"/>
        <v>43686.5</v>
      </c>
      <c r="I18" s="19">
        <v>65</v>
      </c>
      <c r="J18" s="19">
        <v>94</v>
      </c>
      <c r="K18" s="19">
        <v>14.3</v>
      </c>
      <c r="L18" s="19">
        <f t="shared" ref="L18:L21" si="3">ROUND(I18*J18*K18/100,2)</f>
        <v>873.73</v>
      </c>
      <c r="M18" s="19">
        <v>50</v>
      </c>
      <c r="N18" s="76">
        <f t="shared" ref="N18:N21" si="4">M18*L18</f>
        <v>43686.5</v>
      </c>
    </row>
    <row r="19" spans="1:14" s="169" customFormat="1" ht="26.25" customHeight="1" x14ac:dyDescent="0.25">
      <c r="A19" s="195">
        <v>4</v>
      </c>
      <c r="B19" s="207" t="s">
        <v>402</v>
      </c>
      <c r="C19" s="14" t="s">
        <v>428</v>
      </c>
      <c r="D19" s="20" t="str">
        <f t="shared" si="0"/>
        <v>41*94*11,5/100=443,21</v>
      </c>
      <c r="E19" s="76">
        <f t="shared" si="1"/>
        <v>65</v>
      </c>
      <c r="F19" s="8">
        <f t="shared" si="2"/>
        <v>28808.649999999998</v>
      </c>
      <c r="I19" s="19">
        <v>41</v>
      </c>
      <c r="J19" s="19">
        <v>94</v>
      </c>
      <c r="K19" s="19">
        <v>11.5</v>
      </c>
      <c r="L19" s="19">
        <f t="shared" si="3"/>
        <v>443.21</v>
      </c>
      <c r="M19" s="19">
        <v>65</v>
      </c>
      <c r="N19" s="76">
        <f t="shared" si="4"/>
        <v>28808.649999999998</v>
      </c>
    </row>
    <row r="20" spans="1:14" s="191" customFormat="1" ht="26.25" customHeight="1" x14ac:dyDescent="0.25">
      <c r="A20" s="195">
        <v>5</v>
      </c>
      <c r="B20" s="207" t="s">
        <v>399</v>
      </c>
      <c r="C20" s="14" t="s">
        <v>428</v>
      </c>
      <c r="D20" s="20" t="str">
        <f t="shared" si="0"/>
        <v>65*41*15,73/100=419,2</v>
      </c>
      <c r="E20" s="76">
        <f t="shared" si="1"/>
        <v>50</v>
      </c>
      <c r="F20" s="8">
        <f t="shared" si="2"/>
        <v>20960</v>
      </c>
      <c r="I20" s="19">
        <v>65</v>
      </c>
      <c r="J20" s="19">
        <v>41</v>
      </c>
      <c r="K20" s="19">
        <v>15.73</v>
      </c>
      <c r="L20" s="19">
        <f t="shared" si="3"/>
        <v>419.2</v>
      </c>
      <c r="M20" s="19">
        <v>50</v>
      </c>
      <c r="N20" s="76">
        <f t="shared" si="4"/>
        <v>20960</v>
      </c>
    </row>
    <row r="21" spans="1:14" s="169" customFormat="1" ht="26.25" customHeight="1" x14ac:dyDescent="0.25">
      <c r="A21" s="195">
        <v>6</v>
      </c>
      <c r="B21" s="207" t="s">
        <v>400</v>
      </c>
      <c r="C21" s="14" t="s">
        <v>428</v>
      </c>
      <c r="D21" s="20" t="str">
        <f t="shared" si="0"/>
        <v>41*41*12,65/100=212,65</v>
      </c>
      <c r="E21" s="76">
        <f t="shared" si="1"/>
        <v>65</v>
      </c>
      <c r="F21" s="8">
        <f t="shared" si="2"/>
        <v>13822.25</v>
      </c>
      <c r="I21" s="19">
        <v>41</v>
      </c>
      <c r="J21" s="19">
        <v>41</v>
      </c>
      <c r="K21" s="19">
        <v>12.65</v>
      </c>
      <c r="L21" s="19">
        <f t="shared" si="3"/>
        <v>212.65</v>
      </c>
      <c r="M21" s="19">
        <v>65</v>
      </c>
      <c r="N21" s="76">
        <f t="shared" si="4"/>
        <v>13822.25</v>
      </c>
    </row>
    <row r="22" spans="1:14" s="169" customFormat="1" ht="39.75" customHeight="1" x14ac:dyDescent="0.25">
      <c r="A22" s="195">
        <v>7</v>
      </c>
      <c r="B22" s="207" t="s">
        <v>403</v>
      </c>
      <c r="C22" s="14" t="s">
        <v>215</v>
      </c>
      <c r="D22" s="195">
        <v>100</v>
      </c>
      <c r="E22" s="76">
        <f>F22/D22</f>
        <v>1100</v>
      </c>
      <c r="F22" s="8">
        <v>110000</v>
      </c>
      <c r="G22" s="193"/>
      <c r="I22" s="194"/>
      <c r="J22" s="4"/>
      <c r="K22" s="194">
        <f>SUM(K17:K21)</f>
        <v>66.830000000000013</v>
      </c>
      <c r="L22" s="194">
        <f>SUM(L17:L21)</f>
        <v>2301.4700000000003</v>
      </c>
      <c r="M22" s="194">
        <f>SUM(M17:M21)</f>
        <v>295</v>
      </c>
      <c r="N22" s="193">
        <f>SUM(N16:N21)</f>
        <v>164965.09999999998</v>
      </c>
    </row>
    <row r="23" spans="1:14" s="169" customFormat="1" ht="12.75" customHeight="1" x14ac:dyDescent="0.25">
      <c r="A23" s="195">
        <v>8</v>
      </c>
      <c r="B23" s="207" t="s">
        <v>398</v>
      </c>
      <c r="C23" s="14" t="s">
        <v>215</v>
      </c>
      <c r="D23" s="195">
        <v>20</v>
      </c>
      <c r="E23" s="76">
        <f>F23/D23</f>
        <v>7036.7449999999999</v>
      </c>
      <c r="F23" s="8">
        <v>140734.9</v>
      </c>
      <c r="G23" s="193"/>
      <c r="I23" s="194"/>
      <c r="J23" s="4"/>
      <c r="K23" s="4"/>
      <c r="L23" s="4"/>
      <c r="M23" s="194"/>
      <c r="N23" s="193"/>
    </row>
    <row r="24" spans="1:14" hidden="1" x14ac:dyDescent="0.3">
      <c r="A24" s="7"/>
      <c r="B24" s="118" t="s">
        <v>112</v>
      </c>
      <c r="C24" s="236"/>
      <c r="D24" s="236">
        <f>SUM(D22:D23,K17:K21)</f>
        <v>186.83</v>
      </c>
      <c r="E24" s="206">
        <f>SUM(E16:E23)</f>
        <v>8481.744999999999</v>
      </c>
      <c r="F24" s="206">
        <f>SUM(F16:F23)</f>
        <v>415700</v>
      </c>
    </row>
    <row r="25" spans="1:14" x14ac:dyDescent="0.3">
      <c r="A25" s="205"/>
      <c r="B25" s="347" t="s">
        <v>233</v>
      </c>
      <c r="C25" s="347"/>
      <c r="D25" s="347"/>
      <c r="E25" s="347"/>
      <c r="F25" s="206">
        <f>SUM(F26:F33)</f>
        <v>415700</v>
      </c>
    </row>
    <row r="26" spans="1:14" s="169" customFormat="1" ht="26.25" customHeight="1" x14ac:dyDescent="0.25">
      <c r="A26" s="195">
        <v>1</v>
      </c>
      <c r="B26" s="207" t="s">
        <v>399</v>
      </c>
      <c r="C26" s="14" t="s">
        <v>428</v>
      </c>
      <c r="D26" s="20" t="str">
        <f t="shared" ref="D26:D31" si="5">CONCATENATE(I26,"*",J26,"*",K26,"/100","=",L26)</f>
        <v>65*68*15,73/100=695,27</v>
      </c>
      <c r="E26" s="76">
        <f t="shared" ref="E26:E31" si="6">IF(F26=0,0,F26/L26)</f>
        <v>50</v>
      </c>
      <c r="F26" s="8">
        <f t="shared" ref="F26:F31" si="7">N26</f>
        <v>34763.5</v>
      </c>
      <c r="I26" s="19">
        <v>65</v>
      </c>
      <c r="J26" s="19">
        <v>68</v>
      </c>
      <c r="K26" s="19">
        <v>15.73</v>
      </c>
      <c r="L26" s="19">
        <f>ROUND(I26*J26*K26/100,2)</f>
        <v>695.27</v>
      </c>
      <c r="M26" s="19">
        <v>50</v>
      </c>
      <c r="N26" s="76">
        <f>M26*L26</f>
        <v>34763.5</v>
      </c>
    </row>
    <row r="27" spans="1:14" s="169" customFormat="1" ht="26.25" customHeight="1" x14ac:dyDescent="0.25">
      <c r="A27" s="195">
        <v>2</v>
      </c>
      <c r="B27" s="207" t="s">
        <v>400</v>
      </c>
      <c r="C27" s="14" t="s">
        <v>428</v>
      </c>
      <c r="D27" s="20" t="str">
        <f t="shared" si="5"/>
        <v>41*68*12,65/100=352,68</v>
      </c>
      <c r="E27" s="76">
        <f t="shared" si="6"/>
        <v>65</v>
      </c>
      <c r="F27" s="8">
        <f t="shared" si="7"/>
        <v>22924.2</v>
      </c>
      <c r="I27" s="19">
        <v>41</v>
      </c>
      <c r="J27" s="19">
        <v>68</v>
      </c>
      <c r="K27" s="19">
        <v>12.65</v>
      </c>
      <c r="L27" s="19">
        <f>ROUND(I27*J27*K27/100,2)</f>
        <v>352.68</v>
      </c>
      <c r="M27" s="19">
        <v>65</v>
      </c>
      <c r="N27" s="76">
        <f>M27*L27</f>
        <v>22924.2</v>
      </c>
    </row>
    <row r="28" spans="1:14" s="169" customFormat="1" ht="26.25" customHeight="1" x14ac:dyDescent="0.25">
      <c r="A28" s="195">
        <v>3</v>
      </c>
      <c r="B28" s="207" t="s">
        <v>401</v>
      </c>
      <c r="C28" s="14" t="s">
        <v>428</v>
      </c>
      <c r="D28" s="20" t="str">
        <f t="shared" si="5"/>
        <v>65*94*14,3/100=873,73</v>
      </c>
      <c r="E28" s="76">
        <f t="shared" si="6"/>
        <v>50</v>
      </c>
      <c r="F28" s="8">
        <f t="shared" si="7"/>
        <v>43686.5</v>
      </c>
      <c r="I28" s="19">
        <v>65</v>
      </c>
      <c r="J28" s="19">
        <v>94</v>
      </c>
      <c r="K28" s="19">
        <v>14.3</v>
      </c>
      <c r="L28" s="19">
        <f t="shared" ref="L28:L31" si="8">ROUND(I28*J28*K28/100,2)</f>
        <v>873.73</v>
      </c>
      <c r="M28" s="19">
        <v>50</v>
      </c>
      <c r="N28" s="76">
        <f t="shared" ref="N28:N31" si="9">M28*L28</f>
        <v>43686.5</v>
      </c>
    </row>
    <row r="29" spans="1:14" s="169" customFormat="1" ht="26.25" customHeight="1" x14ac:dyDescent="0.25">
      <c r="A29" s="195">
        <v>4</v>
      </c>
      <c r="B29" s="207" t="s">
        <v>402</v>
      </c>
      <c r="C29" s="14" t="s">
        <v>428</v>
      </c>
      <c r="D29" s="20" t="str">
        <f t="shared" si="5"/>
        <v>41*94*11,5/100=443,21</v>
      </c>
      <c r="E29" s="76">
        <f t="shared" si="6"/>
        <v>65</v>
      </c>
      <c r="F29" s="8">
        <f t="shared" si="7"/>
        <v>28808.649999999998</v>
      </c>
      <c r="I29" s="19">
        <v>41</v>
      </c>
      <c r="J29" s="19">
        <v>94</v>
      </c>
      <c r="K29" s="19">
        <v>11.5</v>
      </c>
      <c r="L29" s="19">
        <f t="shared" si="8"/>
        <v>443.21</v>
      </c>
      <c r="M29" s="19">
        <v>65</v>
      </c>
      <c r="N29" s="76">
        <f t="shared" si="9"/>
        <v>28808.649999999998</v>
      </c>
    </row>
    <row r="30" spans="1:14" s="191" customFormat="1" ht="26.25" customHeight="1" x14ac:dyDescent="0.25">
      <c r="A30" s="195">
        <v>5</v>
      </c>
      <c r="B30" s="207" t="s">
        <v>399</v>
      </c>
      <c r="C30" s="14" t="s">
        <v>428</v>
      </c>
      <c r="D30" s="20" t="str">
        <f t="shared" si="5"/>
        <v>65*41*15,73/100=419,2</v>
      </c>
      <c r="E30" s="76">
        <f t="shared" si="6"/>
        <v>50</v>
      </c>
      <c r="F30" s="8">
        <f t="shared" si="7"/>
        <v>20960</v>
      </c>
      <c r="I30" s="19">
        <v>65</v>
      </c>
      <c r="J30" s="19">
        <v>41</v>
      </c>
      <c r="K30" s="19">
        <v>15.73</v>
      </c>
      <c r="L30" s="19">
        <f t="shared" si="8"/>
        <v>419.2</v>
      </c>
      <c r="M30" s="19">
        <v>50</v>
      </c>
      <c r="N30" s="76">
        <f t="shared" si="9"/>
        <v>20960</v>
      </c>
    </row>
    <row r="31" spans="1:14" s="169" customFormat="1" ht="26.25" customHeight="1" x14ac:dyDescent="0.25">
      <c r="A31" s="195">
        <v>6</v>
      </c>
      <c r="B31" s="207" t="s">
        <v>400</v>
      </c>
      <c r="C31" s="14" t="s">
        <v>428</v>
      </c>
      <c r="D31" s="20" t="str">
        <f t="shared" si="5"/>
        <v>41*41*12,65/100=212,65</v>
      </c>
      <c r="E31" s="76">
        <f t="shared" si="6"/>
        <v>65</v>
      </c>
      <c r="F31" s="8">
        <f t="shared" si="7"/>
        <v>13822.25</v>
      </c>
      <c r="I31" s="19">
        <v>41</v>
      </c>
      <c r="J31" s="19">
        <v>41</v>
      </c>
      <c r="K31" s="19">
        <v>12.65</v>
      </c>
      <c r="L31" s="19">
        <f t="shared" si="8"/>
        <v>212.65</v>
      </c>
      <c r="M31" s="19">
        <v>65</v>
      </c>
      <c r="N31" s="76">
        <f t="shared" si="9"/>
        <v>13822.25</v>
      </c>
    </row>
    <row r="32" spans="1:14" s="169" customFormat="1" ht="39.75" customHeight="1" x14ac:dyDescent="0.25">
      <c r="A32" s="195">
        <v>7</v>
      </c>
      <c r="B32" s="207" t="s">
        <v>403</v>
      </c>
      <c r="C32" s="14" t="s">
        <v>215</v>
      </c>
      <c r="D32" s="195">
        <v>100</v>
      </c>
      <c r="E32" s="76">
        <f>F32/D32</f>
        <v>1100</v>
      </c>
      <c r="F32" s="8">
        <v>110000</v>
      </c>
      <c r="G32" s="193"/>
      <c r="I32" s="194"/>
      <c r="J32" s="4"/>
      <c r="K32" s="194">
        <f>SUM(K27:K31)</f>
        <v>66.830000000000013</v>
      </c>
      <c r="L32" s="194">
        <f>SUM(L27:L31)</f>
        <v>2301.4700000000003</v>
      </c>
      <c r="M32" s="194">
        <f>SUM(M27:M31)</f>
        <v>295</v>
      </c>
      <c r="N32" s="193">
        <f>SUM(N26:N31)</f>
        <v>164965.09999999998</v>
      </c>
    </row>
    <row r="33" spans="1:14" s="169" customFormat="1" ht="12" x14ac:dyDescent="0.25">
      <c r="A33" s="195">
        <v>8</v>
      </c>
      <c r="B33" s="207" t="s">
        <v>398</v>
      </c>
      <c r="C33" s="14" t="s">
        <v>215</v>
      </c>
      <c r="D33" s="195">
        <v>20</v>
      </c>
      <c r="E33" s="76">
        <f>F33/D33</f>
        <v>7036.7449999999999</v>
      </c>
      <c r="F33" s="8">
        <v>140734.9</v>
      </c>
      <c r="G33" s="193"/>
      <c r="I33" s="194"/>
      <c r="J33" s="4"/>
      <c r="K33" s="4"/>
      <c r="L33" s="4"/>
      <c r="M33" s="194"/>
      <c r="N33" s="193"/>
    </row>
    <row r="34" spans="1:14" x14ac:dyDescent="0.3">
      <c r="A34" s="7"/>
      <c r="B34" s="347" t="s">
        <v>234</v>
      </c>
      <c r="C34" s="347"/>
      <c r="D34" s="347"/>
      <c r="E34" s="347"/>
      <c r="F34" s="206">
        <f>F25-F15</f>
        <v>0</v>
      </c>
    </row>
    <row r="36" spans="1:14" x14ac:dyDescent="0.3">
      <c r="J36" s="19"/>
    </row>
    <row r="37" spans="1:14" x14ac:dyDescent="0.3">
      <c r="J37" s="19"/>
    </row>
    <row r="38" spans="1:14" x14ac:dyDescent="0.3">
      <c r="J38" s="19"/>
    </row>
    <row r="39" spans="1:14" x14ac:dyDescent="0.3">
      <c r="J39" s="19"/>
    </row>
    <row r="40" spans="1:14" x14ac:dyDescent="0.3">
      <c r="J40" s="192"/>
    </row>
    <row r="41" spans="1:14" x14ac:dyDescent="0.3">
      <c r="J41" s="19"/>
    </row>
  </sheetData>
  <mergeCells count="13">
    <mergeCell ref="B8:E8"/>
    <mergeCell ref="C1:E1"/>
    <mergeCell ref="C2:E2"/>
    <mergeCell ref="C3:E3"/>
    <mergeCell ref="A5:E5"/>
    <mergeCell ref="A6:E6"/>
    <mergeCell ref="B25:E25"/>
    <mergeCell ref="B34:E34"/>
    <mergeCell ref="B15:E15"/>
    <mergeCell ref="B9:E9"/>
    <mergeCell ref="B10:E10"/>
    <mergeCell ref="B12:B13"/>
    <mergeCell ref="C12:C13"/>
  </mergeCells>
  <pageMargins left="0.17" right="0.17" top="0.75" bottom="0.28999999999999998" header="0.3" footer="0.3"/>
  <pageSetup paperSize="9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9"/>
  <sheetViews>
    <sheetView view="pageBreakPreview" topLeftCell="A12" zoomScaleNormal="100" zoomScaleSheetLayoutView="100" workbookViewId="0">
      <selection activeCell="E98" sqref="E98"/>
    </sheetView>
  </sheetViews>
  <sheetFormatPr defaultColWidth="9.109375" defaultRowHeight="12" x14ac:dyDescent="0.25"/>
  <cols>
    <col min="1" max="1" width="37.33203125" style="27" customWidth="1"/>
    <col min="2" max="3" width="9.109375" style="27"/>
    <col min="4" max="4" width="9.109375" style="41"/>
    <col min="5" max="5" width="11.5546875" style="41" customWidth="1"/>
    <col min="6" max="8" width="17.5546875" style="27" customWidth="1"/>
    <col min="9" max="10" width="16.109375" style="27" customWidth="1"/>
    <col min="11" max="11" width="9.109375" style="27"/>
    <col min="12" max="12" width="64.5546875" style="27" customWidth="1"/>
    <col min="13" max="16384" width="9.109375" style="27"/>
  </cols>
  <sheetData>
    <row r="1" spans="1:12" ht="15.6" x14ac:dyDescent="0.25">
      <c r="B1" s="251" t="s">
        <v>111</v>
      </c>
      <c r="C1" s="251"/>
      <c r="D1" s="251"/>
      <c r="E1" s="251"/>
      <c r="F1" s="251"/>
      <c r="G1" s="251"/>
      <c r="H1" s="251"/>
      <c r="I1" s="251"/>
    </row>
    <row r="3" spans="1:12" x14ac:dyDescent="0.25">
      <c r="A3" s="257" t="s">
        <v>0</v>
      </c>
      <c r="B3" s="257" t="s">
        <v>1</v>
      </c>
      <c r="C3" s="286" t="s">
        <v>75</v>
      </c>
      <c r="D3" s="257" t="s">
        <v>0</v>
      </c>
      <c r="E3" s="284" t="s">
        <v>199</v>
      </c>
      <c r="F3" s="257" t="s">
        <v>2</v>
      </c>
      <c r="G3" s="257"/>
      <c r="H3" s="257"/>
      <c r="I3" s="257"/>
      <c r="J3" s="257"/>
    </row>
    <row r="4" spans="1:12" x14ac:dyDescent="0.25">
      <c r="A4" s="257"/>
      <c r="B4" s="257"/>
      <c r="C4" s="286"/>
      <c r="D4" s="257"/>
      <c r="E4" s="284"/>
      <c r="F4" s="257" t="s">
        <v>337</v>
      </c>
      <c r="G4" s="257"/>
      <c r="H4" s="257"/>
      <c r="I4" s="257" t="s">
        <v>338</v>
      </c>
      <c r="J4" s="257" t="s">
        <v>339</v>
      </c>
    </row>
    <row r="5" spans="1:12" ht="84" x14ac:dyDescent="0.25">
      <c r="A5" s="257"/>
      <c r="B5" s="257"/>
      <c r="C5" s="286"/>
      <c r="D5" s="257"/>
      <c r="E5" s="284"/>
      <c r="F5" s="6" t="s">
        <v>3</v>
      </c>
      <c r="G5" s="32" t="s">
        <v>4</v>
      </c>
      <c r="H5" s="6" t="s">
        <v>5</v>
      </c>
      <c r="I5" s="257"/>
      <c r="J5" s="257"/>
    </row>
    <row r="6" spans="1:12" x14ac:dyDescent="0.25">
      <c r="A6" s="6">
        <v>1</v>
      </c>
      <c r="B6" s="6">
        <v>2</v>
      </c>
      <c r="C6" s="6">
        <v>3</v>
      </c>
      <c r="D6" s="79">
        <v>4</v>
      </c>
      <c r="E6" s="129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2" ht="24" x14ac:dyDescent="0.25">
      <c r="A7" s="54" t="s">
        <v>6</v>
      </c>
      <c r="B7" s="6">
        <v>1</v>
      </c>
      <c r="C7" s="6" t="s">
        <v>7</v>
      </c>
      <c r="D7" s="79"/>
      <c r="E7" s="129" t="s">
        <v>7</v>
      </c>
      <c r="F7" s="64">
        <v>0</v>
      </c>
      <c r="G7" s="64">
        <v>0</v>
      </c>
      <c r="H7" s="64">
        <v>0</v>
      </c>
      <c r="I7" s="85">
        <v>0</v>
      </c>
      <c r="J7" s="85">
        <v>0</v>
      </c>
      <c r="L7" s="28"/>
    </row>
    <row r="8" spans="1:12" ht="24" x14ac:dyDescent="0.25">
      <c r="A8" s="54" t="s">
        <v>8</v>
      </c>
      <c r="B8" s="6">
        <v>2</v>
      </c>
      <c r="C8" s="6" t="s">
        <v>7</v>
      </c>
      <c r="D8" s="79"/>
      <c r="E8" s="129" t="s">
        <v>7</v>
      </c>
      <c r="F8" s="64">
        <v>0</v>
      </c>
      <c r="G8" s="64">
        <v>0</v>
      </c>
      <c r="H8" s="64">
        <v>0</v>
      </c>
      <c r="I8" s="85">
        <v>0</v>
      </c>
      <c r="J8" s="85">
        <v>0</v>
      </c>
      <c r="L8" s="29"/>
    </row>
    <row r="9" spans="1:12" x14ac:dyDescent="0.25">
      <c r="A9" s="55" t="s">
        <v>180</v>
      </c>
      <c r="B9" s="266">
        <v>1000</v>
      </c>
      <c r="C9" s="267" t="s">
        <v>10</v>
      </c>
      <c r="D9" s="267"/>
      <c r="E9" s="268"/>
      <c r="F9" s="259">
        <f>F11+F14+F28+F30+F41+F55</f>
        <v>43750000</v>
      </c>
      <c r="G9" s="259">
        <f>G11+G14+G28+G30+G41+G55</f>
        <v>650000</v>
      </c>
      <c r="H9" s="259">
        <f>H11+H14+H28+H30+H41+H55</f>
        <v>0</v>
      </c>
      <c r="I9" s="259">
        <f>SUM(F9:H10)</f>
        <v>44400000</v>
      </c>
      <c r="J9" s="260">
        <f>I9</f>
        <v>44400000</v>
      </c>
      <c r="L9" s="145"/>
    </row>
    <row r="10" spans="1:12" x14ac:dyDescent="0.25">
      <c r="A10" s="56" t="s">
        <v>9</v>
      </c>
      <c r="B10" s="266"/>
      <c r="C10" s="267"/>
      <c r="D10" s="267"/>
      <c r="E10" s="268"/>
      <c r="F10" s="259"/>
      <c r="G10" s="259"/>
      <c r="H10" s="259"/>
      <c r="I10" s="259">
        <f t="shared" ref="I10" si="0">SUM(F10:H10)</f>
        <v>0</v>
      </c>
      <c r="J10" s="261"/>
      <c r="L10" s="29"/>
    </row>
    <row r="11" spans="1:12" x14ac:dyDescent="0.25">
      <c r="A11" s="57" t="s">
        <v>11</v>
      </c>
      <c r="B11" s="285">
        <v>1100</v>
      </c>
      <c r="C11" s="285">
        <v>120</v>
      </c>
      <c r="D11" s="285"/>
      <c r="E11" s="262">
        <v>0</v>
      </c>
      <c r="F11" s="263">
        <f>F13</f>
        <v>0</v>
      </c>
      <c r="G11" s="263">
        <f>G13</f>
        <v>0</v>
      </c>
      <c r="H11" s="263">
        <f>H13</f>
        <v>0</v>
      </c>
      <c r="I11" s="264">
        <f>SUM(F11:H12)</f>
        <v>0</v>
      </c>
      <c r="J11" s="264">
        <f>SUM(G11:I12)</f>
        <v>0</v>
      </c>
      <c r="L11" s="29"/>
    </row>
    <row r="12" spans="1:12" x14ac:dyDescent="0.25">
      <c r="A12" s="57" t="s">
        <v>12</v>
      </c>
      <c r="B12" s="285"/>
      <c r="C12" s="285"/>
      <c r="D12" s="285"/>
      <c r="E12" s="262"/>
      <c r="F12" s="263"/>
      <c r="G12" s="263"/>
      <c r="H12" s="263"/>
      <c r="I12" s="265"/>
      <c r="J12" s="265"/>
      <c r="L12" s="29"/>
    </row>
    <row r="13" spans="1:12" hidden="1" x14ac:dyDescent="0.25">
      <c r="A13" s="54" t="s">
        <v>11</v>
      </c>
      <c r="B13" s="6">
        <v>1110</v>
      </c>
      <c r="C13" s="30"/>
      <c r="D13" s="79"/>
      <c r="E13" s="129"/>
      <c r="F13" s="64"/>
      <c r="G13" s="64"/>
      <c r="H13" s="64"/>
      <c r="I13" s="85"/>
      <c r="J13" s="85">
        <f t="shared" ref="J13" si="1">I13</f>
        <v>0</v>
      </c>
      <c r="L13" s="28"/>
    </row>
    <row r="14" spans="1:12" ht="24" x14ac:dyDescent="0.25">
      <c r="A14" s="57" t="s">
        <v>13</v>
      </c>
      <c r="B14" s="49">
        <v>1200</v>
      </c>
      <c r="C14" s="49">
        <v>130</v>
      </c>
      <c r="D14" s="83"/>
      <c r="E14" s="134">
        <v>0</v>
      </c>
      <c r="F14" s="70">
        <f>SUM(F15:F23)</f>
        <v>43750000</v>
      </c>
      <c r="G14" s="70">
        <f>SUM(G15:G23)</f>
        <v>0</v>
      </c>
      <c r="H14" s="70">
        <f>SUM(H15:H23)</f>
        <v>0</v>
      </c>
      <c r="I14" s="84">
        <f>SUM(F14:H14)</f>
        <v>43750000</v>
      </c>
      <c r="J14" s="84">
        <f>I14</f>
        <v>43750000</v>
      </c>
      <c r="L14" s="28"/>
    </row>
    <row r="15" spans="1:12" x14ac:dyDescent="0.25">
      <c r="A15" s="54" t="s">
        <v>11</v>
      </c>
      <c r="B15" s="257">
        <v>1210</v>
      </c>
      <c r="C15" s="257">
        <v>130</v>
      </c>
      <c r="D15" s="283" t="s">
        <v>224</v>
      </c>
      <c r="E15" s="130">
        <v>6030625400</v>
      </c>
      <c r="F15" s="139">
        <f>F65+F74+F98+F72+F69+F107</f>
        <v>39156000</v>
      </c>
      <c r="G15" s="255"/>
      <c r="H15" s="255"/>
      <c r="I15" s="109">
        <f t="shared" ref="I15:I16" si="2">SUM(F15:H15)</f>
        <v>39156000</v>
      </c>
      <c r="J15" s="109">
        <f t="shared" ref="J15:J16" si="3">I15</f>
        <v>39156000</v>
      </c>
      <c r="L15" s="28"/>
    </row>
    <row r="16" spans="1:12" x14ac:dyDescent="0.25">
      <c r="A16" s="287" t="s">
        <v>14</v>
      </c>
      <c r="B16" s="257"/>
      <c r="C16" s="257"/>
      <c r="D16" s="257"/>
      <c r="E16" s="129" t="s">
        <v>221</v>
      </c>
      <c r="F16" s="138">
        <f>F66+F75+F99</f>
        <v>4594000</v>
      </c>
      <c r="G16" s="256"/>
      <c r="H16" s="256"/>
      <c r="I16" s="109">
        <f t="shared" si="2"/>
        <v>4594000</v>
      </c>
      <c r="J16" s="109">
        <f t="shared" si="3"/>
        <v>4594000</v>
      </c>
      <c r="L16" s="28"/>
    </row>
    <row r="17" spans="1:12" hidden="1" x14ac:dyDescent="0.25">
      <c r="A17" s="288"/>
      <c r="B17" s="257"/>
      <c r="C17" s="257"/>
      <c r="D17" s="257"/>
      <c r="E17" s="129" t="s">
        <v>246</v>
      </c>
      <c r="F17" s="138">
        <f>F67+F76</f>
        <v>0</v>
      </c>
      <c r="G17" s="64"/>
      <c r="H17" s="64"/>
      <c r="I17" s="85">
        <f t="shared" ref="I17:I78" si="4">SUM(F17:H17)</f>
        <v>0</v>
      </c>
      <c r="J17" s="85">
        <f>I17</f>
        <v>0</v>
      </c>
      <c r="L17" s="29"/>
    </row>
    <row r="18" spans="1:12" s="102" customFormat="1" hidden="1" x14ac:dyDescent="0.25">
      <c r="A18" s="99" t="s">
        <v>11</v>
      </c>
      <c r="B18" s="271">
        <v>1211</v>
      </c>
      <c r="C18" s="271">
        <v>130</v>
      </c>
      <c r="D18" s="271"/>
      <c r="E18" s="271"/>
      <c r="F18" s="272"/>
      <c r="G18" s="272"/>
      <c r="H18" s="272"/>
      <c r="I18" s="273">
        <f t="shared" si="4"/>
        <v>0</v>
      </c>
      <c r="J18" s="273"/>
      <c r="L18" s="110"/>
    </row>
    <row r="19" spans="1:12" s="102" customFormat="1" hidden="1" x14ac:dyDescent="0.25">
      <c r="A19" s="99" t="s">
        <v>15</v>
      </c>
      <c r="B19" s="271"/>
      <c r="C19" s="271"/>
      <c r="D19" s="271"/>
      <c r="E19" s="271"/>
      <c r="F19" s="272"/>
      <c r="G19" s="272"/>
      <c r="H19" s="272"/>
      <c r="I19" s="274">
        <f t="shared" si="4"/>
        <v>0</v>
      </c>
      <c r="J19" s="274"/>
      <c r="L19" s="110"/>
    </row>
    <row r="20" spans="1:12" s="102" customFormat="1" hidden="1" x14ac:dyDescent="0.25">
      <c r="A20" s="99" t="s">
        <v>11</v>
      </c>
      <c r="B20" s="271">
        <v>1212</v>
      </c>
      <c r="C20" s="271">
        <v>130</v>
      </c>
      <c r="D20" s="271"/>
      <c r="E20" s="271"/>
      <c r="F20" s="272"/>
      <c r="G20" s="272"/>
      <c r="H20" s="272"/>
      <c r="I20" s="273">
        <f t="shared" si="4"/>
        <v>0</v>
      </c>
      <c r="J20" s="273"/>
      <c r="L20" s="110"/>
    </row>
    <row r="21" spans="1:12" s="102" customFormat="1" ht="36" hidden="1" x14ac:dyDescent="0.25">
      <c r="A21" s="99" t="s">
        <v>16</v>
      </c>
      <c r="B21" s="271"/>
      <c r="C21" s="271"/>
      <c r="D21" s="271"/>
      <c r="E21" s="271"/>
      <c r="F21" s="272"/>
      <c r="G21" s="272"/>
      <c r="H21" s="272"/>
      <c r="I21" s="274">
        <f t="shared" si="4"/>
        <v>0</v>
      </c>
      <c r="J21" s="274"/>
      <c r="L21" s="110"/>
    </row>
    <row r="22" spans="1:12" s="95" customFormat="1" x14ac:dyDescent="0.25">
      <c r="A22" s="103" t="s">
        <v>11</v>
      </c>
      <c r="B22" s="278">
        <v>1213</v>
      </c>
      <c r="C22" s="278">
        <v>130</v>
      </c>
      <c r="D22" s="278"/>
      <c r="E22" s="279">
        <v>0</v>
      </c>
      <c r="F22" s="280">
        <f>SUM(F24:F27)</f>
        <v>0</v>
      </c>
      <c r="G22" s="280">
        <f>SUM(G24:G27)</f>
        <v>0</v>
      </c>
      <c r="H22" s="280">
        <f>SUM(H24:H27)</f>
        <v>0</v>
      </c>
      <c r="I22" s="281">
        <f t="shared" si="4"/>
        <v>0</v>
      </c>
      <c r="J22" s="281">
        <f>I22</f>
        <v>0</v>
      </c>
      <c r="L22" s="96"/>
    </row>
    <row r="23" spans="1:12" s="95" customFormat="1" ht="24" x14ac:dyDescent="0.25">
      <c r="A23" s="103" t="s">
        <v>17</v>
      </c>
      <c r="B23" s="278"/>
      <c r="C23" s="278"/>
      <c r="D23" s="278"/>
      <c r="E23" s="279"/>
      <c r="F23" s="280"/>
      <c r="G23" s="280"/>
      <c r="H23" s="280"/>
      <c r="I23" s="282">
        <f t="shared" si="4"/>
        <v>0</v>
      </c>
      <c r="J23" s="282">
        <f t="shared" ref="J23" si="5">I23</f>
        <v>0</v>
      </c>
      <c r="L23" s="97"/>
    </row>
    <row r="24" spans="1:12" s="102" customFormat="1" hidden="1" x14ac:dyDescent="0.25">
      <c r="A24" s="99" t="s">
        <v>11</v>
      </c>
      <c r="B24" s="271" t="s">
        <v>19</v>
      </c>
      <c r="C24" s="271">
        <v>130</v>
      </c>
      <c r="D24" s="277" t="s">
        <v>203</v>
      </c>
      <c r="E24" s="271" t="s">
        <v>201</v>
      </c>
      <c r="F24" s="272"/>
      <c r="G24" s="272"/>
      <c r="H24" s="272">
        <f>H102</f>
        <v>0</v>
      </c>
      <c r="I24" s="273">
        <f t="shared" si="4"/>
        <v>0</v>
      </c>
      <c r="J24" s="273"/>
      <c r="L24" s="110"/>
    </row>
    <row r="25" spans="1:12" s="102" customFormat="1" hidden="1" x14ac:dyDescent="0.25">
      <c r="A25" s="99" t="s">
        <v>18</v>
      </c>
      <c r="B25" s="271"/>
      <c r="C25" s="271"/>
      <c r="D25" s="271"/>
      <c r="E25" s="271"/>
      <c r="F25" s="272"/>
      <c r="G25" s="272"/>
      <c r="H25" s="272"/>
      <c r="I25" s="274">
        <f t="shared" si="4"/>
        <v>0</v>
      </c>
      <c r="J25" s="274"/>
    </row>
    <row r="26" spans="1:12" s="102" customFormat="1" hidden="1" x14ac:dyDescent="0.25">
      <c r="A26" s="99" t="s">
        <v>11</v>
      </c>
      <c r="B26" s="271" t="s">
        <v>21</v>
      </c>
      <c r="C26" s="271">
        <v>130</v>
      </c>
      <c r="D26" s="271"/>
      <c r="E26" s="271"/>
      <c r="F26" s="272"/>
      <c r="G26" s="272"/>
      <c r="H26" s="272"/>
      <c r="I26" s="273">
        <f t="shared" si="4"/>
        <v>0</v>
      </c>
      <c r="J26" s="273"/>
    </row>
    <row r="27" spans="1:12" s="102" customFormat="1" hidden="1" x14ac:dyDescent="0.25">
      <c r="A27" s="99" t="s">
        <v>20</v>
      </c>
      <c r="B27" s="271"/>
      <c r="C27" s="271"/>
      <c r="D27" s="271"/>
      <c r="E27" s="271"/>
      <c r="F27" s="272"/>
      <c r="G27" s="272"/>
      <c r="H27" s="272"/>
      <c r="I27" s="274">
        <f t="shared" si="4"/>
        <v>0</v>
      </c>
      <c r="J27" s="274"/>
    </row>
    <row r="28" spans="1:12" s="95" customFormat="1" ht="24" x14ac:dyDescent="0.25">
      <c r="A28" s="103" t="s">
        <v>22</v>
      </c>
      <c r="B28" s="104">
        <v>1300</v>
      </c>
      <c r="C28" s="104">
        <v>140</v>
      </c>
      <c r="D28" s="104"/>
      <c r="E28" s="135">
        <v>0</v>
      </c>
      <c r="F28" s="105">
        <f>F29</f>
        <v>0</v>
      </c>
      <c r="G28" s="105">
        <f>G29</f>
        <v>0</v>
      </c>
      <c r="H28" s="105">
        <f>H29</f>
        <v>0</v>
      </c>
      <c r="I28" s="105">
        <f t="shared" si="4"/>
        <v>0</v>
      </c>
      <c r="J28" s="105">
        <f>I28</f>
        <v>0</v>
      </c>
    </row>
    <row r="29" spans="1:12" s="95" customFormat="1" ht="13.5" hidden="1" customHeight="1" x14ac:dyDescent="0.25">
      <c r="A29" s="99" t="s">
        <v>11</v>
      </c>
      <c r="B29" s="100">
        <v>1310</v>
      </c>
      <c r="C29" s="100">
        <v>140</v>
      </c>
      <c r="D29" s="100">
        <v>1101</v>
      </c>
      <c r="E29" s="132" t="s">
        <v>226</v>
      </c>
      <c r="F29" s="101"/>
      <c r="G29" s="101"/>
      <c r="H29" s="101">
        <f>H101</f>
        <v>0</v>
      </c>
      <c r="I29" s="101">
        <f t="shared" si="4"/>
        <v>0</v>
      </c>
      <c r="J29" s="101"/>
    </row>
    <row r="30" spans="1:12" s="102" customFormat="1" x14ac:dyDescent="0.25">
      <c r="A30" s="103" t="s">
        <v>23</v>
      </c>
      <c r="B30" s="104">
        <v>1400</v>
      </c>
      <c r="C30" s="104">
        <v>150</v>
      </c>
      <c r="D30" s="104"/>
      <c r="E30" s="135">
        <v>0</v>
      </c>
      <c r="F30" s="105">
        <f>SUM(F31:F40)</f>
        <v>0</v>
      </c>
      <c r="G30" s="105">
        <f>SUM(G31:G40)</f>
        <v>650000</v>
      </c>
      <c r="H30" s="105">
        <f>SUM(H31:H40)</f>
        <v>0</v>
      </c>
      <c r="I30" s="105">
        <f t="shared" si="4"/>
        <v>650000</v>
      </c>
      <c r="J30" s="105">
        <f>I30</f>
        <v>650000</v>
      </c>
    </row>
    <row r="31" spans="1:12" s="102" customFormat="1" x14ac:dyDescent="0.25">
      <c r="A31" s="99" t="s">
        <v>11</v>
      </c>
      <c r="B31" s="271">
        <v>1410</v>
      </c>
      <c r="C31" s="271">
        <v>150</v>
      </c>
      <c r="D31" s="108">
        <v>1101</v>
      </c>
      <c r="E31" s="132">
        <v>6030625450</v>
      </c>
      <c r="F31" s="109"/>
      <c r="G31" s="109">
        <f>G100+G87</f>
        <v>650000</v>
      </c>
      <c r="H31" s="109"/>
      <c r="I31" s="109">
        <f t="shared" si="4"/>
        <v>650000</v>
      </c>
      <c r="J31" s="109">
        <f t="shared" ref="J31:J37" si="6">I31</f>
        <v>650000</v>
      </c>
    </row>
    <row r="32" spans="1:12" s="102" customFormat="1" ht="15" hidden="1" customHeight="1" x14ac:dyDescent="0.25">
      <c r="A32" s="292" t="s">
        <v>24</v>
      </c>
      <c r="B32" s="271"/>
      <c r="C32" s="271"/>
      <c r="D32" s="108" t="s">
        <v>203</v>
      </c>
      <c r="E32" s="132">
        <v>6030725610</v>
      </c>
      <c r="F32" s="109"/>
      <c r="G32" s="109">
        <f>G103</f>
        <v>0</v>
      </c>
      <c r="H32" s="109"/>
      <c r="I32" s="109">
        <f t="shared" si="4"/>
        <v>0</v>
      </c>
      <c r="J32" s="109">
        <f t="shared" si="6"/>
        <v>0</v>
      </c>
    </row>
    <row r="33" spans="1:10" s="102" customFormat="1" hidden="1" x14ac:dyDescent="0.25">
      <c r="A33" s="293"/>
      <c r="B33" s="271"/>
      <c r="C33" s="271"/>
      <c r="D33" s="108">
        <v>1101</v>
      </c>
      <c r="E33" s="132">
        <v>6040825700</v>
      </c>
      <c r="F33" s="109"/>
      <c r="G33" s="109">
        <f>G104</f>
        <v>0</v>
      </c>
      <c r="H33" s="109"/>
      <c r="I33" s="109">
        <f t="shared" si="4"/>
        <v>0</v>
      </c>
      <c r="J33" s="109">
        <f t="shared" si="6"/>
        <v>0</v>
      </c>
    </row>
    <row r="34" spans="1:10" s="102" customFormat="1" hidden="1" x14ac:dyDescent="0.25">
      <c r="A34" s="99" t="s">
        <v>11</v>
      </c>
      <c r="B34" s="271">
        <v>1411</v>
      </c>
      <c r="C34" s="271">
        <v>150</v>
      </c>
      <c r="D34" s="271"/>
      <c r="E34" s="271" t="s">
        <v>200</v>
      </c>
      <c r="F34" s="272"/>
      <c r="G34" s="272"/>
      <c r="H34" s="272"/>
      <c r="I34" s="273">
        <f t="shared" si="4"/>
        <v>0</v>
      </c>
      <c r="J34" s="273">
        <f t="shared" si="6"/>
        <v>0</v>
      </c>
    </row>
    <row r="35" spans="1:10" s="102" customFormat="1" hidden="1" x14ac:dyDescent="0.25">
      <c r="A35" s="99" t="s">
        <v>25</v>
      </c>
      <c r="B35" s="271"/>
      <c r="C35" s="271"/>
      <c r="D35" s="271"/>
      <c r="E35" s="271"/>
      <c r="F35" s="272"/>
      <c r="G35" s="272"/>
      <c r="H35" s="272"/>
      <c r="I35" s="274">
        <f t="shared" si="4"/>
        <v>0</v>
      </c>
      <c r="J35" s="274">
        <f t="shared" si="6"/>
        <v>0</v>
      </c>
    </row>
    <row r="36" spans="1:10" s="102" customFormat="1" hidden="1" x14ac:dyDescent="0.25">
      <c r="A36" s="99" t="s">
        <v>11</v>
      </c>
      <c r="B36" s="271">
        <v>1412</v>
      </c>
      <c r="C36" s="271">
        <v>150</v>
      </c>
      <c r="D36" s="277">
        <v>1101</v>
      </c>
      <c r="E36" s="271" t="s">
        <v>229</v>
      </c>
      <c r="F36" s="272"/>
      <c r="G36" s="272"/>
      <c r="H36" s="272">
        <f>H68+H71</f>
        <v>0</v>
      </c>
      <c r="I36" s="272">
        <f t="shared" si="4"/>
        <v>0</v>
      </c>
      <c r="J36" s="273">
        <f t="shared" si="6"/>
        <v>0</v>
      </c>
    </row>
    <row r="37" spans="1:10" s="102" customFormat="1" hidden="1" x14ac:dyDescent="0.25">
      <c r="A37" s="99" t="s">
        <v>26</v>
      </c>
      <c r="B37" s="271"/>
      <c r="C37" s="271"/>
      <c r="D37" s="271"/>
      <c r="E37" s="271"/>
      <c r="F37" s="272"/>
      <c r="G37" s="272"/>
      <c r="H37" s="272"/>
      <c r="I37" s="272">
        <f t="shared" si="4"/>
        <v>0</v>
      </c>
      <c r="J37" s="274">
        <f t="shared" si="6"/>
        <v>0</v>
      </c>
    </row>
    <row r="38" spans="1:10" s="102" customFormat="1" hidden="1" x14ac:dyDescent="0.25">
      <c r="A38" s="99" t="s">
        <v>11</v>
      </c>
      <c r="B38" s="271">
        <v>1413</v>
      </c>
      <c r="C38" s="271">
        <v>150</v>
      </c>
      <c r="D38" s="271"/>
      <c r="E38" s="271" t="s">
        <v>200</v>
      </c>
      <c r="F38" s="272"/>
      <c r="G38" s="272"/>
      <c r="H38" s="272"/>
      <c r="I38" s="273">
        <f t="shared" si="4"/>
        <v>0</v>
      </c>
      <c r="J38" s="273"/>
    </row>
    <row r="39" spans="1:10" s="102" customFormat="1" hidden="1" x14ac:dyDescent="0.25">
      <c r="A39" s="99" t="s">
        <v>15</v>
      </c>
      <c r="B39" s="271"/>
      <c r="C39" s="271"/>
      <c r="D39" s="271"/>
      <c r="E39" s="271"/>
      <c r="F39" s="272"/>
      <c r="G39" s="272"/>
      <c r="H39" s="272"/>
      <c r="I39" s="274">
        <f t="shared" si="4"/>
        <v>0</v>
      </c>
      <c r="J39" s="274"/>
    </row>
    <row r="40" spans="1:10" s="102" customFormat="1" hidden="1" x14ac:dyDescent="0.25">
      <c r="A40" s="99" t="s">
        <v>27</v>
      </c>
      <c r="B40" s="100">
        <v>1420</v>
      </c>
      <c r="C40" s="100">
        <v>150</v>
      </c>
      <c r="D40" s="100"/>
      <c r="E40" s="132" t="s">
        <v>200</v>
      </c>
      <c r="F40" s="101"/>
      <c r="G40" s="101"/>
      <c r="H40" s="101"/>
      <c r="I40" s="101">
        <f t="shared" si="4"/>
        <v>0</v>
      </c>
      <c r="J40" s="101"/>
    </row>
    <row r="41" spans="1:10" s="102" customFormat="1" x14ac:dyDescent="0.25">
      <c r="A41" s="103" t="s">
        <v>28</v>
      </c>
      <c r="B41" s="104">
        <v>1500</v>
      </c>
      <c r="C41" s="104">
        <v>180</v>
      </c>
      <c r="D41" s="104"/>
      <c r="E41" s="135">
        <v>0</v>
      </c>
      <c r="F41" s="105">
        <f>SUM(F42:F54)</f>
        <v>0</v>
      </c>
      <c r="G41" s="105">
        <f>SUM(G42:G54)</f>
        <v>0</v>
      </c>
      <c r="H41" s="105">
        <f>SUM(H42:H54)</f>
        <v>0</v>
      </c>
      <c r="I41" s="105">
        <f t="shared" si="4"/>
        <v>0</v>
      </c>
      <c r="J41" s="105">
        <f>I41</f>
        <v>0</v>
      </c>
    </row>
    <row r="42" spans="1:10" s="102" customFormat="1" hidden="1" x14ac:dyDescent="0.25">
      <c r="A42" s="292" t="s">
        <v>29</v>
      </c>
      <c r="B42" s="302">
        <v>1510</v>
      </c>
      <c r="C42" s="302">
        <v>180</v>
      </c>
      <c r="D42" s="299" t="s">
        <v>202</v>
      </c>
      <c r="E42" s="132"/>
      <c r="F42" s="101"/>
      <c r="G42" s="101"/>
      <c r="H42" s="101"/>
      <c r="I42" s="101">
        <f t="shared" si="4"/>
        <v>0</v>
      </c>
      <c r="J42" s="101">
        <f>I42</f>
        <v>0</v>
      </c>
    </row>
    <row r="43" spans="1:10" s="102" customFormat="1" hidden="1" x14ac:dyDescent="0.25">
      <c r="A43" s="293"/>
      <c r="B43" s="303"/>
      <c r="C43" s="303"/>
      <c r="D43" s="300"/>
      <c r="E43" s="132"/>
      <c r="F43" s="101"/>
      <c r="G43" s="101"/>
      <c r="H43" s="101"/>
      <c r="I43" s="101">
        <f t="shared" si="4"/>
        <v>0</v>
      </c>
      <c r="J43" s="101">
        <f t="shared" ref="J43:J48" si="7">I43</f>
        <v>0</v>
      </c>
    </row>
    <row r="44" spans="1:10" s="102" customFormat="1" hidden="1" x14ac:dyDescent="0.25">
      <c r="A44" s="293"/>
      <c r="B44" s="303"/>
      <c r="C44" s="303"/>
      <c r="D44" s="300"/>
      <c r="E44" s="132"/>
      <c r="F44" s="101"/>
      <c r="G44" s="101"/>
      <c r="H44" s="101"/>
      <c r="I44" s="101">
        <f t="shared" si="4"/>
        <v>0</v>
      </c>
      <c r="J44" s="101">
        <f t="shared" si="7"/>
        <v>0</v>
      </c>
    </row>
    <row r="45" spans="1:10" s="102" customFormat="1" hidden="1" x14ac:dyDescent="0.25">
      <c r="A45" s="293"/>
      <c r="B45" s="303"/>
      <c r="C45" s="303"/>
      <c r="D45" s="300"/>
      <c r="E45" s="132"/>
      <c r="F45" s="101"/>
      <c r="G45" s="101"/>
      <c r="H45" s="101"/>
      <c r="I45" s="101">
        <f t="shared" si="4"/>
        <v>0</v>
      </c>
      <c r="J45" s="101">
        <f t="shared" si="7"/>
        <v>0</v>
      </c>
    </row>
    <row r="46" spans="1:10" s="102" customFormat="1" hidden="1" x14ac:dyDescent="0.25">
      <c r="A46" s="293"/>
      <c r="B46" s="303"/>
      <c r="C46" s="303"/>
      <c r="D46" s="300"/>
      <c r="E46" s="132"/>
      <c r="F46" s="101"/>
      <c r="G46" s="101"/>
      <c r="H46" s="101"/>
      <c r="I46" s="101">
        <f t="shared" si="4"/>
        <v>0</v>
      </c>
      <c r="J46" s="101">
        <f t="shared" si="7"/>
        <v>0</v>
      </c>
    </row>
    <row r="47" spans="1:10" s="102" customFormat="1" hidden="1" x14ac:dyDescent="0.25">
      <c r="A47" s="293"/>
      <c r="B47" s="303"/>
      <c r="C47" s="303"/>
      <c r="D47" s="300"/>
      <c r="E47" s="132"/>
      <c r="F47" s="101"/>
      <c r="G47" s="101"/>
      <c r="H47" s="101"/>
      <c r="I47" s="101">
        <f t="shared" si="4"/>
        <v>0</v>
      </c>
      <c r="J47" s="101">
        <f t="shared" si="7"/>
        <v>0</v>
      </c>
    </row>
    <row r="48" spans="1:10" s="102" customFormat="1" hidden="1" x14ac:dyDescent="0.25">
      <c r="A48" s="293"/>
      <c r="B48" s="303"/>
      <c r="C48" s="303"/>
      <c r="D48" s="300"/>
      <c r="E48" s="106"/>
      <c r="F48" s="101"/>
      <c r="G48" s="101"/>
      <c r="H48" s="101"/>
      <c r="I48" s="101">
        <f t="shared" si="4"/>
        <v>0</v>
      </c>
      <c r="J48" s="101">
        <f t="shared" si="7"/>
        <v>0</v>
      </c>
    </row>
    <row r="49" spans="1:10" s="102" customFormat="1" hidden="1" x14ac:dyDescent="0.25">
      <c r="A49" s="293"/>
      <c r="B49" s="303"/>
      <c r="C49" s="303"/>
      <c r="D49" s="300"/>
      <c r="E49" s="132"/>
      <c r="F49" s="101"/>
      <c r="G49" s="101"/>
      <c r="H49" s="101"/>
      <c r="I49" s="101">
        <f t="shared" si="4"/>
        <v>0</v>
      </c>
      <c r="J49" s="101"/>
    </row>
    <row r="50" spans="1:10" s="102" customFormat="1" hidden="1" x14ac:dyDescent="0.25">
      <c r="A50" s="293"/>
      <c r="B50" s="304"/>
      <c r="C50" s="304"/>
      <c r="D50" s="301"/>
      <c r="E50" s="132"/>
      <c r="F50" s="101"/>
      <c r="G50" s="101"/>
      <c r="H50" s="101"/>
      <c r="I50" s="101">
        <f t="shared" si="4"/>
        <v>0</v>
      </c>
      <c r="J50" s="101"/>
    </row>
    <row r="51" spans="1:10" s="102" customFormat="1" hidden="1" x14ac:dyDescent="0.25">
      <c r="A51" s="293"/>
      <c r="B51" s="302">
        <v>1511</v>
      </c>
      <c r="C51" s="302">
        <v>180</v>
      </c>
      <c r="D51" s="299" t="s">
        <v>203</v>
      </c>
      <c r="E51" s="132"/>
      <c r="F51" s="101"/>
      <c r="G51" s="101"/>
      <c r="H51" s="101"/>
      <c r="I51" s="101">
        <f t="shared" si="4"/>
        <v>0</v>
      </c>
      <c r="J51" s="101"/>
    </row>
    <row r="52" spans="1:10" s="102" customFormat="1" hidden="1" x14ac:dyDescent="0.25">
      <c r="A52" s="293"/>
      <c r="B52" s="303"/>
      <c r="C52" s="303"/>
      <c r="D52" s="300"/>
      <c r="E52" s="132"/>
      <c r="F52" s="101"/>
      <c r="G52" s="101"/>
      <c r="H52" s="101"/>
      <c r="I52" s="101">
        <f t="shared" si="4"/>
        <v>0</v>
      </c>
      <c r="J52" s="101"/>
    </row>
    <row r="53" spans="1:10" s="102" customFormat="1" hidden="1" x14ac:dyDescent="0.25">
      <c r="A53" s="305"/>
      <c r="B53" s="304"/>
      <c r="C53" s="304"/>
      <c r="D53" s="301"/>
      <c r="E53" s="132"/>
      <c r="F53" s="101"/>
      <c r="G53" s="101"/>
      <c r="H53" s="101"/>
      <c r="I53" s="101">
        <f t="shared" si="4"/>
        <v>0</v>
      </c>
      <c r="J53" s="101"/>
    </row>
    <row r="54" spans="1:10" s="102" customFormat="1" hidden="1" x14ac:dyDescent="0.25">
      <c r="A54" s="99" t="s">
        <v>27</v>
      </c>
      <c r="B54" s="100">
        <v>1520</v>
      </c>
      <c r="C54" s="100">
        <v>180</v>
      </c>
      <c r="D54" s="100"/>
      <c r="E54" s="132"/>
      <c r="F54" s="101"/>
      <c r="G54" s="101"/>
      <c r="H54" s="101"/>
      <c r="I54" s="101">
        <f t="shared" si="4"/>
        <v>0</v>
      </c>
      <c r="J54" s="101"/>
    </row>
    <row r="55" spans="1:10" s="102" customFormat="1" x14ac:dyDescent="0.25">
      <c r="A55" s="103" t="s">
        <v>30</v>
      </c>
      <c r="B55" s="104">
        <v>1900</v>
      </c>
      <c r="C55" s="107"/>
      <c r="D55" s="104"/>
      <c r="E55" s="135">
        <v>0</v>
      </c>
      <c r="F55" s="105">
        <f>SUM(F56:F60)</f>
        <v>0</v>
      </c>
      <c r="G55" s="105">
        <f>SUM(G56:G60)</f>
        <v>0</v>
      </c>
      <c r="H55" s="105">
        <f>SUM(H56:H60)</f>
        <v>0</v>
      </c>
      <c r="I55" s="105">
        <f t="shared" si="4"/>
        <v>0</v>
      </c>
      <c r="J55" s="105">
        <f>I55</f>
        <v>0</v>
      </c>
    </row>
    <row r="56" spans="1:10" s="95" customFormat="1" hidden="1" x14ac:dyDescent="0.25">
      <c r="A56" s="94" t="s">
        <v>11</v>
      </c>
      <c r="B56" s="98"/>
      <c r="C56" s="98"/>
      <c r="D56" s="92"/>
      <c r="E56" s="136"/>
      <c r="F56" s="93"/>
      <c r="G56" s="93"/>
      <c r="H56" s="93"/>
      <c r="I56" s="93">
        <f t="shared" si="4"/>
        <v>0</v>
      </c>
      <c r="J56" s="93"/>
    </row>
    <row r="57" spans="1:10" s="95" customFormat="1" hidden="1" x14ac:dyDescent="0.25">
      <c r="A57" s="94"/>
      <c r="B57" s="98"/>
      <c r="C57" s="98"/>
      <c r="D57" s="92"/>
      <c r="E57" s="136"/>
      <c r="F57" s="93"/>
      <c r="G57" s="93"/>
      <c r="H57" s="93"/>
      <c r="I57" s="93">
        <f t="shared" si="4"/>
        <v>0</v>
      </c>
      <c r="J57" s="93"/>
    </row>
    <row r="58" spans="1:10" s="95" customFormat="1" hidden="1" x14ac:dyDescent="0.25">
      <c r="A58" s="94" t="s">
        <v>31</v>
      </c>
      <c r="B58" s="92">
        <v>1980</v>
      </c>
      <c r="C58" s="92" t="s">
        <v>7</v>
      </c>
      <c r="D58" s="92"/>
      <c r="E58" s="136"/>
      <c r="F58" s="93"/>
      <c r="G58" s="93"/>
      <c r="H58" s="93"/>
      <c r="I58" s="93">
        <f t="shared" si="4"/>
        <v>0</v>
      </c>
      <c r="J58" s="93"/>
    </row>
    <row r="59" spans="1:10" s="95" customFormat="1" hidden="1" x14ac:dyDescent="0.25">
      <c r="A59" s="94" t="s">
        <v>32</v>
      </c>
      <c r="B59" s="269">
        <v>1981</v>
      </c>
      <c r="C59" s="269">
        <v>510</v>
      </c>
      <c r="D59" s="269"/>
      <c r="E59" s="269"/>
      <c r="F59" s="270"/>
      <c r="G59" s="270"/>
      <c r="H59" s="270"/>
      <c r="I59" s="275">
        <f t="shared" si="4"/>
        <v>0</v>
      </c>
      <c r="J59" s="275" t="s">
        <v>7</v>
      </c>
    </row>
    <row r="60" spans="1:10" s="95" customFormat="1" ht="24" hidden="1" x14ac:dyDescent="0.25">
      <c r="A60" s="94" t="s">
        <v>33</v>
      </c>
      <c r="B60" s="269"/>
      <c r="C60" s="269"/>
      <c r="D60" s="269"/>
      <c r="E60" s="269"/>
      <c r="F60" s="270"/>
      <c r="G60" s="270"/>
      <c r="H60" s="270"/>
      <c r="I60" s="276">
        <f t="shared" si="4"/>
        <v>0</v>
      </c>
      <c r="J60" s="276"/>
    </row>
    <row r="61" spans="1:10" s="45" customFormat="1" x14ac:dyDescent="0.25">
      <c r="A61" s="55" t="s">
        <v>34</v>
      </c>
      <c r="B61" s="266">
        <v>2000</v>
      </c>
      <c r="C61" s="267" t="s">
        <v>7</v>
      </c>
      <c r="D61" s="267"/>
      <c r="E61" s="268">
        <v>0</v>
      </c>
      <c r="F61" s="259">
        <f>F63+F77+F84+F89+F95+F97</f>
        <v>43750000</v>
      </c>
      <c r="G61" s="259">
        <f>G63+G77+G84+G89+G95+G97</f>
        <v>650000</v>
      </c>
      <c r="H61" s="259">
        <f>H63+H77+H84+H89+H95+H97</f>
        <v>0</v>
      </c>
      <c r="I61" s="259">
        <f t="shared" si="4"/>
        <v>44400000</v>
      </c>
      <c r="J61" s="260">
        <f>I61</f>
        <v>44400000</v>
      </c>
    </row>
    <row r="62" spans="1:10" x14ac:dyDescent="0.25">
      <c r="A62" s="56" t="s">
        <v>35</v>
      </c>
      <c r="B62" s="266"/>
      <c r="C62" s="267"/>
      <c r="D62" s="267"/>
      <c r="E62" s="268"/>
      <c r="F62" s="259"/>
      <c r="G62" s="259"/>
      <c r="H62" s="259"/>
      <c r="I62" s="259">
        <f t="shared" si="4"/>
        <v>0</v>
      </c>
      <c r="J62" s="261"/>
    </row>
    <row r="63" spans="1:10" x14ac:dyDescent="0.25">
      <c r="A63" s="57" t="s">
        <v>11</v>
      </c>
      <c r="B63" s="285">
        <v>2100</v>
      </c>
      <c r="C63" s="285" t="s">
        <v>7</v>
      </c>
      <c r="D63" s="285"/>
      <c r="E63" s="262">
        <v>0</v>
      </c>
      <c r="F63" s="263">
        <f>SUM(F65:F76)</f>
        <v>38674000</v>
      </c>
      <c r="G63" s="263">
        <f>SUM(G65:G76)</f>
        <v>0</v>
      </c>
      <c r="H63" s="263">
        <f>SUM(H65:H76)</f>
        <v>0</v>
      </c>
      <c r="I63" s="263">
        <f t="shared" si="4"/>
        <v>38674000</v>
      </c>
      <c r="J63" s="264">
        <f>I63</f>
        <v>38674000</v>
      </c>
    </row>
    <row r="64" spans="1:10" x14ac:dyDescent="0.25">
      <c r="A64" s="57" t="s">
        <v>36</v>
      </c>
      <c r="B64" s="285"/>
      <c r="C64" s="285"/>
      <c r="D64" s="285"/>
      <c r="E64" s="262"/>
      <c r="F64" s="263"/>
      <c r="G64" s="263"/>
      <c r="H64" s="263"/>
      <c r="I64" s="263">
        <f t="shared" si="4"/>
        <v>0</v>
      </c>
      <c r="J64" s="265"/>
    </row>
    <row r="65" spans="1:10" x14ac:dyDescent="0.25">
      <c r="A65" s="54" t="s">
        <v>11</v>
      </c>
      <c r="B65" s="289">
        <v>2110</v>
      </c>
      <c r="C65" s="289">
        <v>111</v>
      </c>
      <c r="D65" s="283" t="s">
        <v>224</v>
      </c>
      <c r="E65" s="129">
        <v>6030625410</v>
      </c>
      <c r="F65" s="64">
        <v>28153000</v>
      </c>
      <c r="G65" s="64"/>
      <c r="H65" s="64"/>
      <c r="I65" s="85">
        <f t="shared" si="4"/>
        <v>28153000</v>
      </c>
      <c r="J65" s="85">
        <f>I65</f>
        <v>28153000</v>
      </c>
    </row>
    <row r="66" spans="1:10" ht="15" customHeight="1" x14ac:dyDescent="0.25">
      <c r="A66" s="287" t="s">
        <v>37</v>
      </c>
      <c r="B66" s="290"/>
      <c r="C66" s="290"/>
      <c r="D66" s="283"/>
      <c r="E66" s="129" t="s">
        <v>222</v>
      </c>
      <c r="F66" s="88">
        <v>1550000</v>
      </c>
      <c r="G66" s="88"/>
      <c r="H66" s="88"/>
      <c r="I66" s="88">
        <f t="shared" si="4"/>
        <v>1550000</v>
      </c>
      <c r="J66" s="88">
        <f t="shared" ref="J66" si="8">I66</f>
        <v>1550000</v>
      </c>
    </row>
    <row r="67" spans="1:10" hidden="1" x14ac:dyDescent="0.25">
      <c r="A67" s="288"/>
      <c r="B67" s="290"/>
      <c r="C67" s="290"/>
      <c r="D67" s="283"/>
      <c r="E67" s="129" t="s">
        <v>246</v>
      </c>
      <c r="F67" s="64"/>
      <c r="G67" s="64"/>
      <c r="H67" s="64"/>
      <c r="I67" s="85">
        <f t="shared" si="4"/>
        <v>0</v>
      </c>
      <c r="J67" s="85">
        <f t="shared" ref="J67:J76" si="9">I67</f>
        <v>0</v>
      </c>
    </row>
    <row r="68" spans="1:10" ht="15.75" hidden="1" customHeight="1" x14ac:dyDescent="0.25">
      <c r="A68" s="287" t="s">
        <v>38</v>
      </c>
      <c r="B68" s="38">
        <v>2120</v>
      </c>
      <c r="C68" s="38">
        <v>112</v>
      </c>
      <c r="D68" s="79" t="s">
        <v>224</v>
      </c>
      <c r="E68" s="129" t="s">
        <v>223</v>
      </c>
      <c r="F68" s="64"/>
      <c r="G68" s="64"/>
      <c r="H68" s="64"/>
      <c r="I68" s="85">
        <f t="shared" si="4"/>
        <v>0</v>
      </c>
      <c r="J68" s="85">
        <f t="shared" si="9"/>
        <v>0</v>
      </c>
    </row>
    <row r="69" spans="1:10" hidden="1" x14ac:dyDescent="0.25">
      <c r="A69" s="288"/>
      <c r="B69" s="38">
        <v>2121</v>
      </c>
      <c r="C69" s="38">
        <v>112</v>
      </c>
      <c r="D69" s="79" t="s">
        <v>224</v>
      </c>
      <c r="E69" s="129">
        <v>6030625410</v>
      </c>
      <c r="F69" s="64"/>
      <c r="G69" s="64"/>
      <c r="H69" s="64"/>
      <c r="I69" s="85">
        <f t="shared" si="4"/>
        <v>0</v>
      </c>
      <c r="J69" s="85">
        <f t="shared" si="9"/>
        <v>0</v>
      </c>
    </row>
    <row r="70" spans="1:10" hidden="1" x14ac:dyDescent="0.25">
      <c r="A70" s="54"/>
      <c r="B70" s="38">
        <v>2122</v>
      </c>
      <c r="C70" s="38"/>
      <c r="D70" s="79"/>
      <c r="E70" s="129"/>
      <c r="F70" s="64"/>
      <c r="G70" s="64"/>
      <c r="H70" s="64"/>
      <c r="I70" s="85">
        <f t="shared" si="4"/>
        <v>0</v>
      </c>
      <c r="J70" s="85">
        <f t="shared" si="9"/>
        <v>0</v>
      </c>
    </row>
    <row r="71" spans="1:10" ht="18" hidden="1" customHeight="1" x14ac:dyDescent="0.25">
      <c r="A71" s="287" t="s">
        <v>39</v>
      </c>
      <c r="B71" s="38">
        <v>2130</v>
      </c>
      <c r="C71" s="38">
        <v>113</v>
      </c>
      <c r="D71" s="79" t="s">
        <v>224</v>
      </c>
      <c r="E71" s="129" t="s">
        <v>223</v>
      </c>
      <c r="F71" s="64"/>
      <c r="G71" s="64"/>
      <c r="H71" s="64"/>
      <c r="I71" s="85">
        <f t="shared" si="4"/>
        <v>0</v>
      </c>
      <c r="J71" s="85">
        <f t="shared" si="9"/>
        <v>0</v>
      </c>
    </row>
    <row r="72" spans="1:10" ht="18" hidden="1" customHeight="1" x14ac:dyDescent="0.25">
      <c r="A72" s="288"/>
      <c r="B72" s="38">
        <v>2131</v>
      </c>
      <c r="C72" s="38">
        <v>113</v>
      </c>
      <c r="D72" s="79">
        <v>1101</v>
      </c>
      <c r="E72" s="129">
        <v>6030625410</v>
      </c>
      <c r="F72" s="64"/>
      <c r="G72" s="64"/>
      <c r="H72" s="64"/>
      <c r="I72" s="85">
        <f t="shared" si="4"/>
        <v>0</v>
      </c>
      <c r="J72" s="85">
        <f t="shared" si="9"/>
        <v>0</v>
      </c>
    </row>
    <row r="73" spans="1:10" hidden="1" x14ac:dyDescent="0.25">
      <c r="A73" s="54"/>
      <c r="B73" s="38">
        <v>2132</v>
      </c>
      <c r="C73" s="38"/>
      <c r="D73" s="79"/>
      <c r="E73" s="129"/>
      <c r="F73" s="64"/>
      <c r="G73" s="64"/>
      <c r="H73" s="64"/>
      <c r="I73" s="85">
        <f t="shared" si="4"/>
        <v>0</v>
      </c>
      <c r="J73" s="85">
        <f t="shared" si="9"/>
        <v>0</v>
      </c>
    </row>
    <row r="74" spans="1:10" ht="17.25" customHeight="1" x14ac:dyDescent="0.25">
      <c r="A74" s="287" t="s">
        <v>40</v>
      </c>
      <c r="B74" s="289">
        <v>2140</v>
      </c>
      <c r="C74" s="289">
        <v>119</v>
      </c>
      <c r="D74" s="283" t="s">
        <v>224</v>
      </c>
      <c r="E74" s="129">
        <v>6030625410</v>
      </c>
      <c r="F74" s="64">
        <v>8503000</v>
      </c>
      <c r="G74" s="64"/>
      <c r="H74" s="64"/>
      <c r="I74" s="85">
        <f t="shared" si="4"/>
        <v>8503000</v>
      </c>
      <c r="J74" s="85">
        <f t="shared" si="9"/>
        <v>8503000</v>
      </c>
    </row>
    <row r="75" spans="1:10" ht="17.25" customHeight="1" x14ac:dyDescent="0.25">
      <c r="A75" s="291"/>
      <c r="B75" s="290"/>
      <c r="C75" s="290"/>
      <c r="D75" s="283"/>
      <c r="E75" s="129" t="s">
        <v>222</v>
      </c>
      <c r="F75" s="88">
        <v>468000</v>
      </c>
      <c r="G75" s="88"/>
      <c r="H75" s="88"/>
      <c r="I75" s="88">
        <f t="shared" si="4"/>
        <v>468000</v>
      </c>
      <c r="J75" s="88">
        <f t="shared" ref="J75" si="10">I75</f>
        <v>468000</v>
      </c>
    </row>
    <row r="76" spans="1:10" ht="17.25" hidden="1" customHeight="1" x14ac:dyDescent="0.25">
      <c r="A76" s="291"/>
      <c r="B76" s="290"/>
      <c r="C76" s="290"/>
      <c r="D76" s="283"/>
      <c r="E76" s="129" t="s">
        <v>246</v>
      </c>
      <c r="F76" s="64"/>
      <c r="G76" s="64"/>
      <c r="H76" s="64"/>
      <c r="I76" s="85">
        <f t="shared" si="4"/>
        <v>0</v>
      </c>
      <c r="J76" s="85">
        <f t="shared" si="9"/>
        <v>0</v>
      </c>
    </row>
    <row r="77" spans="1:10" x14ac:dyDescent="0.25">
      <c r="A77" s="57" t="s">
        <v>41</v>
      </c>
      <c r="B77" s="49">
        <v>2200</v>
      </c>
      <c r="C77" s="49">
        <v>300</v>
      </c>
      <c r="D77" s="83"/>
      <c r="E77" s="131" t="s">
        <v>200</v>
      </c>
      <c r="F77" s="70">
        <f>SUM(F78:F83)</f>
        <v>0</v>
      </c>
      <c r="G77" s="70">
        <f>SUM(G78:G83)</f>
        <v>0</v>
      </c>
      <c r="H77" s="70">
        <f>SUM(H78:H83)</f>
        <v>0</v>
      </c>
      <c r="I77" s="84">
        <f t="shared" si="4"/>
        <v>0</v>
      </c>
      <c r="J77" s="84">
        <f>I77</f>
        <v>0</v>
      </c>
    </row>
    <row r="78" spans="1:10" hidden="1" x14ac:dyDescent="0.25">
      <c r="A78" s="54" t="s">
        <v>11</v>
      </c>
      <c r="B78" s="257">
        <v>2210</v>
      </c>
      <c r="C78" s="257">
        <v>320</v>
      </c>
      <c r="D78" s="257"/>
      <c r="E78" s="257"/>
      <c r="F78" s="258"/>
      <c r="G78" s="258"/>
      <c r="H78" s="258"/>
      <c r="I78" s="255">
        <f t="shared" si="4"/>
        <v>0</v>
      </c>
      <c r="J78" s="255" t="s">
        <v>7</v>
      </c>
    </row>
    <row r="79" spans="1:10" ht="24" hidden="1" x14ac:dyDescent="0.25">
      <c r="A79" s="54" t="s">
        <v>42</v>
      </c>
      <c r="B79" s="257"/>
      <c r="C79" s="257"/>
      <c r="D79" s="257"/>
      <c r="E79" s="257"/>
      <c r="F79" s="258"/>
      <c r="G79" s="258"/>
      <c r="H79" s="258"/>
      <c r="I79" s="256">
        <f t="shared" ref="I79:I107" si="11">SUM(F79:H79)</f>
        <v>0</v>
      </c>
      <c r="J79" s="256"/>
    </row>
    <row r="80" spans="1:10" hidden="1" x14ac:dyDescent="0.25">
      <c r="A80" s="54" t="s">
        <v>32</v>
      </c>
      <c r="B80" s="257">
        <v>2211</v>
      </c>
      <c r="C80" s="257">
        <v>321</v>
      </c>
      <c r="D80" s="257"/>
      <c r="E80" s="257"/>
      <c r="F80" s="258"/>
      <c r="G80" s="258"/>
      <c r="H80" s="258"/>
      <c r="I80" s="255">
        <f t="shared" si="11"/>
        <v>0</v>
      </c>
      <c r="J80" s="255" t="s">
        <v>7</v>
      </c>
    </row>
    <row r="81" spans="1:10" ht="36" hidden="1" x14ac:dyDescent="0.25">
      <c r="A81" s="54" t="s">
        <v>43</v>
      </c>
      <c r="B81" s="257"/>
      <c r="C81" s="257"/>
      <c r="D81" s="257"/>
      <c r="E81" s="257"/>
      <c r="F81" s="258"/>
      <c r="G81" s="258"/>
      <c r="H81" s="258"/>
      <c r="I81" s="256">
        <f t="shared" si="11"/>
        <v>0</v>
      </c>
      <c r="J81" s="256"/>
    </row>
    <row r="82" spans="1:10" ht="60" hidden="1" x14ac:dyDescent="0.25">
      <c r="A82" s="54" t="s">
        <v>44</v>
      </c>
      <c r="B82" s="6">
        <v>2230</v>
      </c>
      <c r="C82" s="6">
        <v>350</v>
      </c>
      <c r="D82" s="79"/>
      <c r="E82" s="129"/>
      <c r="F82" s="64"/>
      <c r="G82" s="64"/>
      <c r="H82" s="64"/>
      <c r="I82" s="85">
        <f t="shared" si="11"/>
        <v>0</v>
      </c>
      <c r="J82" s="85"/>
    </row>
    <row r="83" spans="1:10" hidden="1" x14ac:dyDescent="0.25">
      <c r="A83" s="54" t="s">
        <v>45</v>
      </c>
      <c r="B83" s="38">
        <v>2240</v>
      </c>
      <c r="C83" s="38">
        <v>360</v>
      </c>
      <c r="D83" s="79"/>
      <c r="E83" s="129"/>
      <c r="F83" s="64"/>
      <c r="G83" s="64"/>
      <c r="H83" s="64"/>
      <c r="I83" s="85">
        <f t="shared" si="11"/>
        <v>0</v>
      </c>
      <c r="J83" s="85"/>
    </row>
    <row r="84" spans="1:10" x14ac:dyDescent="0.25">
      <c r="A84" s="57" t="s">
        <v>46</v>
      </c>
      <c r="B84" s="49">
        <v>2300</v>
      </c>
      <c r="C84" s="49">
        <v>850</v>
      </c>
      <c r="D84" s="83"/>
      <c r="E84" s="131" t="s">
        <v>200</v>
      </c>
      <c r="F84" s="70">
        <f>SUM(F85:F88)</f>
        <v>0</v>
      </c>
      <c r="G84" s="70">
        <f>SUM(G85:G88)</f>
        <v>0</v>
      </c>
      <c r="H84" s="70">
        <f>SUM(H85:H88)</f>
        <v>0</v>
      </c>
      <c r="I84" s="84">
        <f t="shared" si="11"/>
        <v>0</v>
      </c>
      <c r="J84" s="84">
        <f>I84</f>
        <v>0</v>
      </c>
    </row>
    <row r="85" spans="1:10" hidden="1" x14ac:dyDescent="0.25">
      <c r="A85" s="54" t="s">
        <v>32</v>
      </c>
      <c r="B85" s="257">
        <v>2310</v>
      </c>
      <c r="C85" s="257">
        <v>851</v>
      </c>
      <c r="D85" s="257"/>
      <c r="E85" s="257"/>
      <c r="F85" s="258"/>
      <c r="G85" s="258"/>
      <c r="H85" s="258"/>
      <c r="I85" s="255">
        <f t="shared" si="11"/>
        <v>0</v>
      </c>
      <c r="J85" s="255" t="s">
        <v>7</v>
      </c>
    </row>
    <row r="86" spans="1:10" ht="24" hidden="1" x14ac:dyDescent="0.25">
      <c r="A86" s="54" t="s">
        <v>47</v>
      </c>
      <c r="B86" s="257"/>
      <c r="C86" s="257"/>
      <c r="D86" s="257"/>
      <c r="E86" s="257"/>
      <c r="F86" s="258"/>
      <c r="G86" s="258"/>
      <c r="H86" s="258"/>
      <c r="I86" s="256">
        <f t="shared" si="11"/>
        <v>0</v>
      </c>
      <c r="J86" s="256"/>
    </row>
    <row r="87" spans="1:10" ht="36" hidden="1" customHeight="1" x14ac:dyDescent="0.25">
      <c r="A87" s="54" t="s">
        <v>48</v>
      </c>
      <c r="B87" s="6">
        <v>2320</v>
      </c>
      <c r="C87" s="6">
        <v>852</v>
      </c>
      <c r="D87" s="86">
        <v>1101</v>
      </c>
      <c r="E87" s="129">
        <v>6030625450</v>
      </c>
      <c r="F87" s="64">
        <v>0</v>
      </c>
      <c r="G87" s="64">
        <v>0</v>
      </c>
      <c r="H87" s="64"/>
      <c r="I87" s="85">
        <f t="shared" si="11"/>
        <v>0</v>
      </c>
      <c r="J87" s="85">
        <f>I87</f>
        <v>0</v>
      </c>
    </row>
    <row r="88" spans="1:10" ht="24" hidden="1" x14ac:dyDescent="0.25">
      <c r="A88" s="54" t="s">
        <v>49</v>
      </c>
      <c r="B88" s="6">
        <v>2330</v>
      </c>
      <c r="C88" s="6">
        <v>853</v>
      </c>
      <c r="D88" s="86"/>
      <c r="E88" s="129"/>
      <c r="F88" s="64"/>
      <c r="G88" s="64"/>
      <c r="H88" s="64"/>
      <c r="I88" s="85">
        <f t="shared" si="11"/>
        <v>0</v>
      </c>
      <c r="J88" s="85">
        <f>I88</f>
        <v>0</v>
      </c>
    </row>
    <row r="89" spans="1:10" ht="24" x14ac:dyDescent="0.25">
      <c r="A89" s="57" t="s">
        <v>50</v>
      </c>
      <c r="B89" s="49">
        <v>2400</v>
      </c>
      <c r="C89" s="49" t="s">
        <v>7</v>
      </c>
      <c r="D89" s="83"/>
      <c r="E89" s="131" t="s">
        <v>200</v>
      </c>
      <c r="F89" s="70">
        <f>SUM(F90:F94)</f>
        <v>0</v>
      </c>
      <c r="G89" s="70">
        <f>SUM(G90:G94)</f>
        <v>0</v>
      </c>
      <c r="H89" s="70">
        <f>SUM(H90:H94)</f>
        <v>0</v>
      </c>
      <c r="I89" s="84">
        <f t="shared" si="11"/>
        <v>0</v>
      </c>
      <c r="J89" s="84">
        <f>I89</f>
        <v>0</v>
      </c>
    </row>
    <row r="90" spans="1:10" hidden="1" x14ac:dyDescent="0.25">
      <c r="A90" s="54" t="s">
        <v>32</v>
      </c>
      <c r="B90" s="257">
        <v>2410</v>
      </c>
      <c r="C90" s="257">
        <v>615</v>
      </c>
      <c r="D90" s="257"/>
      <c r="E90" s="257"/>
      <c r="F90" s="258"/>
      <c r="G90" s="258"/>
      <c r="H90" s="258"/>
      <c r="I90" s="255">
        <f t="shared" si="11"/>
        <v>0</v>
      </c>
      <c r="J90" s="255" t="s">
        <v>7</v>
      </c>
    </row>
    <row r="91" spans="1:10" ht="24" hidden="1" x14ac:dyDescent="0.25">
      <c r="A91" s="54" t="s">
        <v>51</v>
      </c>
      <c r="B91" s="257"/>
      <c r="C91" s="257"/>
      <c r="D91" s="257"/>
      <c r="E91" s="257"/>
      <c r="F91" s="258"/>
      <c r="G91" s="258"/>
      <c r="H91" s="258"/>
      <c r="I91" s="256">
        <f t="shared" si="11"/>
        <v>0</v>
      </c>
      <c r="J91" s="256"/>
    </row>
    <row r="92" spans="1:10" ht="24" hidden="1" x14ac:dyDescent="0.25">
      <c r="A92" s="54" t="s">
        <v>52</v>
      </c>
      <c r="B92" s="6">
        <v>2420</v>
      </c>
      <c r="C92" s="6">
        <v>625</v>
      </c>
      <c r="D92" s="79"/>
      <c r="E92" s="129"/>
      <c r="F92" s="64"/>
      <c r="G92" s="64"/>
      <c r="H92" s="64"/>
      <c r="I92" s="85">
        <f t="shared" si="11"/>
        <v>0</v>
      </c>
      <c r="J92" s="85"/>
    </row>
    <row r="93" spans="1:10" ht="36" hidden="1" x14ac:dyDescent="0.25">
      <c r="A93" s="54" t="s">
        <v>53</v>
      </c>
      <c r="B93" s="6">
        <v>2430</v>
      </c>
      <c r="C93" s="6">
        <v>635</v>
      </c>
      <c r="D93" s="79"/>
      <c r="E93" s="129"/>
      <c r="F93" s="64"/>
      <c r="G93" s="64"/>
      <c r="H93" s="64"/>
      <c r="I93" s="85">
        <f t="shared" si="11"/>
        <v>0</v>
      </c>
      <c r="J93" s="85"/>
    </row>
    <row r="94" spans="1:10" ht="24" hidden="1" x14ac:dyDescent="0.25">
      <c r="A94" s="54" t="s">
        <v>54</v>
      </c>
      <c r="B94" s="6">
        <v>2440</v>
      </c>
      <c r="C94" s="6">
        <v>816</v>
      </c>
      <c r="D94" s="79"/>
      <c r="E94" s="129"/>
      <c r="F94" s="64"/>
      <c r="G94" s="64"/>
      <c r="H94" s="64"/>
      <c r="I94" s="85">
        <f t="shared" si="11"/>
        <v>0</v>
      </c>
      <c r="J94" s="85"/>
    </row>
    <row r="95" spans="1:10" ht="24" x14ac:dyDescent="0.25">
      <c r="A95" s="57" t="s">
        <v>55</v>
      </c>
      <c r="B95" s="49">
        <v>2500</v>
      </c>
      <c r="C95" s="49" t="s">
        <v>7</v>
      </c>
      <c r="D95" s="83"/>
      <c r="E95" s="131" t="s">
        <v>200</v>
      </c>
      <c r="F95" s="70">
        <f>SUM(F96)</f>
        <v>0</v>
      </c>
      <c r="G95" s="70">
        <f>SUM(G96)</f>
        <v>0</v>
      </c>
      <c r="H95" s="70">
        <f>SUM(H96)</f>
        <v>0</v>
      </c>
      <c r="I95" s="84">
        <f t="shared" si="11"/>
        <v>0</v>
      </c>
      <c r="J95" s="84">
        <f>I95</f>
        <v>0</v>
      </c>
    </row>
    <row r="96" spans="1:10" ht="48" hidden="1" x14ac:dyDescent="0.25">
      <c r="A96" s="54" t="s">
        <v>56</v>
      </c>
      <c r="B96" s="6">
        <v>2520</v>
      </c>
      <c r="C96" s="6">
        <v>831</v>
      </c>
      <c r="D96" s="79"/>
      <c r="E96" s="129"/>
      <c r="F96" s="64"/>
      <c r="G96" s="64"/>
      <c r="H96" s="64"/>
      <c r="I96" s="85">
        <f t="shared" si="11"/>
        <v>0</v>
      </c>
      <c r="J96" s="85" t="s">
        <v>7</v>
      </c>
    </row>
    <row r="97" spans="1:10" x14ac:dyDescent="0.25">
      <c r="A97" s="57" t="s">
        <v>57</v>
      </c>
      <c r="B97" s="49">
        <v>2600</v>
      </c>
      <c r="C97" s="49" t="s">
        <v>7</v>
      </c>
      <c r="D97" s="83"/>
      <c r="E97" s="134">
        <v>0</v>
      </c>
      <c r="F97" s="70">
        <f>SUM(F98:F108)</f>
        <v>5076000</v>
      </c>
      <c r="G97" s="70">
        <f>SUM(G98:G108)</f>
        <v>650000</v>
      </c>
      <c r="H97" s="70">
        <f>SUM(H98:H108)</f>
        <v>0</v>
      </c>
      <c r="I97" s="84">
        <f t="shared" si="11"/>
        <v>5726000</v>
      </c>
      <c r="J97" s="84">
        <f>I97</f>
        <v>5726000</v>
      </c>
    </row>
    <row r="98" spans="1:10" x14ac:dyDescent="0.25">
      <c r="A98" s="54" t="s">
        <v>58</v>
      </c>
      <c r="B98" s="297">
        <v>2640</v>
      </c>
      <c r="C98" s="297">
        <v>244</v>
      </c>
      <c r="D98" s="79">
        <v>1101</v>
      </c>
      <c r="E98" s="129">
        <v>6030625420</v>
      </c>
      <c r="F98" s="85">
        <v>1630000</v>
      </c>
      <c r="G98" s="85"/>
      <c r="H98" s="85"/>
      <c r="I98" s="85">
        <f t="shared" si="11"/>
        <v>1630000</v>
      </c>
      <c r="J98" s="85">
        <f>I98</f>
        <v>1630000</v>
      </c>
    </row>
    <row r="99" spans="1:10" x14ac:dyDescent="0.25">
      <c r="A99" s="287" t="s">
        <v>32</v>
      </c>
      <c r="B99" s="298"/>
      <c r="C99" s="298"/>
      <c r="D99" s="79">
        <v>1101</v>
      </c>
      <c r="E99" s="129" t="s">
        <v>225</v>
      </c>
      <c r="F99" s="85">
        <v>2576000</v>
      </c>
      <c r="G99" s="85"/>
      <c r="H99" s="85"/>
      <c r="I99" s="85">
        <f t="shared" si="11"/>
        <v>2576000</v>
      </c>
      <c r="J99" s="85">
        <f t="shared" ref="J99:J104" si="12">I99</f>
        <v>2576000</v>
      </c>
    </row>
    <row r="100" spans="1:10" x14ac:dyDescent="0.25">
      <c r="A100" s="291"/>
      <c r="B100" s="298"/>
      <c r="C100" s="298"/>
      <c r="D100" s="79" t="s">
        <v>224</v>
      </c>
      <c r="E100" s="129">
        <v>6030625450</v>
      </c>
      <c r="F100" s="85"/>
      <c r="G100" s="85">
        <v>650000</v>
      </c>
      <c r="H100" s="85"/>
      <c r="I100" s="85">
        <f t="shared" si="11"/>
        <v>650000</v>
      </c>
      <c r="J100" s="85">
        <f t="shared" si="12"/>
        <v>650000</v>
      </c>
    </row>
    <row r="101" spans="1:10" hidden="1" x14ac:dyDescent="0.25">
      <c r="A101" s="291"/>
      <c r="B101" s="298"/>
      <c r="C101" s="298"/>
      <c r="D101" s="79">
        <v>1101</v>
      </c>
      <c r="E101" s="129" t="s">
        <v>226</v>
      </c>
      <c r="F101" s="85"/>
      <c r="G101" s="85"/>
      <c r="H101" s="85"/>
      <c r="I101" s="85">
        <f t="shared" si="11"/>
        <v>0</v>
      </c>
      <c r="J101" s="85">
        <f t="shared" si="12"/>
        <v>0</v>
      </c>
    </row>
    <row r="102" spans="1:10" hidden="1" x14ac:dyDescent="0.25">
      <c r="A102" s="291"/>
      <c r="B102" s="298"/>
      <c r="C102" s="298"/>
      <c r="D102" s="79" t="s">
        <v>203</v>
      </c>
      <c r="E102" s="129" t="s">
        <v>227</v>
      </c>
      <c r="F102" s="85"/>
      <c r="G102" s="85"/>
      <c r="H102" s="85"/>
      <c r="I102" s="85">
        <f t="shared" si="11"/>
        <v>0</v>
      </c>
      <c r="J102" s="85">
        <f t="shared" si="12"/>
        <v>0</v>
      </c>
    </row>
    <row r="103" spans="1:10" hidden="1" x14ac:dyDescent="0.25">
      <c r="A103" s="291"/>
      <c r="B103" s="298"/>
      <c r="C103" s="298"/>
      <c r="D103" s="79" t="s">
        <v>203</v>
      </c>
      <c r="E103" s="129">
        <v>6030725610</v>
      </c>
      <c r="F103" s="85"/>
      <c r="G103" s="85"/>
      <c r="H103" s="85"/>
      <c r="I103" s="85">
        <f t="shared" si="11"/>
        <v>0</v>
      </c>
      <c r="J103" s="85">
        <f t="shared" si="12"/>
        <v>0</v>
      </c>
    </row>
    <row r="104" spans="1:10" hidden="1" x14ac:dyDescent="0.25">
      <c r="A104" s="291"/>
      <c r="B104" s="298"/>
      <c r="C104" s="298"/>
      <c r="D104" s="79" t="s">
        <v>224</v>
      </c>
      <c r="E104" s="129">
        <v>6040825700</v>
      </c>
      <c r="F104" s="85"/>
      <c r="G104" s="85"/>
      <c r="H104" s="85"/>
      <c r="I104" s="85">
        <f t="shared" si="11"/>
        <v>0</v>
      </c>
      <c r="J104" s="85">
        <f t="shared" si="12"/>
        <v>0</v>
      </c>
    </row>
    <row r="105" spans="1:10" hidden="1" x14ac:dyDescent="0.25">
      <c r="A105" s="291"/>
      <c r="B105" s="298"/>
      <c r="C105" s="298"/>
      <c r="D105" s="81"/>
      <c r="E105" s="133"/>
      <c r="F105" s="64"/>
      <c r="G105" s="64"/>
      <c r="H105" s="64"/>
      <c r="I105" s="85">
        <f t="shared" si="11"/>
        <v>0</v>
      </c>
      <c r="J105" s="85">
        <f t="shared" ref="J105:J107" si="13">I105</f>
        <v>0</v>
      </c>
    </row>
    <row r="106" spans="1:10" ht="36" hidden="1" x14ac:dyDescent="0.25">
      <c r="A106" s="54" t="s">
        <v>59</v>
      </c>
      <c r="B106" s="6">
        <v>2650</v>
      </c>
      <c r="C106" s="6">
        <v>246</v>
      </c>
      <c r="D106" s="79"/>
      <c r="E106" s="129"/>
      <c r="F106" s="64"/>
      <c r="G106" s="64"/>
      <c r="H106" s="64"/>
      <c r="I106" s="85">
        <f t="shared" si="11"/>
        <v>0</v>
      </c>
      <c r="J106" s="85">
        <f t="shared" si="13"/>
        <v>0</v>
      </c>
    </row>
    <row r="107" spans="1:10" x14ac:dyDescent="0.25">
      <c r="A107" s="54" t="s">
        <v>60</v>
      </c>
      <c r="B107" s="6">
        <v>2660</v>
      </c>
      <c r="C107" s="6">
        <v>247</v>
      </c>
      <c r="D107" s="86" t="s">
        <v>224</v>
      </c>
      <c r="E107" s="129">
        <v>6030625420</v>
      </c>
      <c r="F107" s="64">
        <v>870000</v>
      </c>
      <c r="G107" s="64"/>
      <c r="H107" s="64"/>
      <c r="I107" s="64">
        <f t="shared" si="11"/>
        <v>870000</v>
      </c>
      <c r="J107" s="64">
        <f t="shared" si="13"/>
        <v>870000</v>
      </c>
    </row>
    <row r="108" spans="1:10" hidden="1" x14ac:dyDescent="0.25">
      <c r="A108" s="54"/>
      <c r="B108" s="6">
        <v>2661</v>
      </c>
      <c r="C108" s="6"/>
      <c r="D108" s="79"/>
      <c r="E108" s="129"/>
      <c r="F108" s="38"/>
      <c r="G108" s="38"/>
      <c r="H108" s="38"/>
      <c r="I108" s="38"/>
      <c r="J108" s="38"/>
    </row>
    <row r="109" spans="1:10" ht="24" hidden="1" x14ac:dyDescent="0.25">
      <c r="A109" s="58" t="s">
        <v>61</v>
      </c>
      <c r="B109" s="50">
        <v>2700</v>
      </c>
      <c r="C109" s="50">
        <v>400</v>
      </c>
      <c r="D109" s="87"/>
      <c r="E109" s="137"/>
      <c r="F109" s="59">
        <f>SUM(F110:F112)</f>
        <v>0</v>
      </c>
      <c r="G109" s="59">
        <f>SUM(G110:G112)</f>
        <v>0</v>
      </c>
      <c r="H109" s="59">
        <f>SUM(H110:H112)</f>
        <v>0</v>
      </c>
      <c r="I109" s="51"/>
      <c r="J109" s="51"/>
    </row>
    <row r="110" spans="1:10" hidden="1" x14ac:dyDescent="0.25">
      <c r="A110" s="58" t="s">
        <v>11</v>
      </c>
      <c r="B110" s="250">
        <v>2710</v>
      </c>
      <c r="C110" s="250">
        <v>406</v>
      </c>
      <c r="D110" s="250"/>
      <c r="E110" s="250"/>
      <c r="F110" s="253"/>
      <c r="G110" s="253"/>
      <c r="H110" s="253"/>
      <c r="I110" s="252"/>
      <c r="J110" s="252"/>
    </row>
    <row r="111" spans="1:10" ht="24" hidden="1" x14ac:dyDescent="0.25">
      <c r="A111" s="58" t="s">
        <v>62</v>
      </c>
      <c r="B111" s="250"/>
      <c r="C111" s="250"/>
      <c r="D111" s="250"/>
      <c r="E111" s="250"/>
      <c r="F111" s="253"/>
      <c r="G111" s="253"/>
      <c r="H111" s="253"/>
      <c r="I111" s="252"/>
      <c r="J111" s="252"/>
    </row>
    <row r="112" spans="1:10" ht="36" hidden="1" x14ac:dyDescent="0.25">
      <c r="A112" s="58" t="s">
        <v>63</v>
      </c>
      <c r="B112" s="50">
        <v>2720</v>
      </c>
      <c r="C112" s="50">
        <v>407</v>
      </c>
      <c r="D112" s="87"/>
      <c r="E112" s="137"/>
      <c r="F112" s="59"/>
      <c r="G112" s="59"/>
      <c r="H112" s="59"/>
      <c r="I112" s="51"/>
      <c r="J112" s="51"/>
    </row>
    <row r="113" spans="1:10" hidden="1" x14ac:dyDescent="0.25">
      <c r="A113" s="58" t="s">
        <v>64</v>
      </c>
      <c r="B113" s="50">
        <v>2800</v>
      </c>
      <c r="C113" s="50">
        <v>880</v>
      </c>
      <c r="D113" s="87"/>
      <c r="E113" s="137"/>
      <c r="F113" s="59"/>
      <c r="G113" s="59"/>
      <c r="H113" s="59"/>
      <c r="I113" s="51"/>
      <c r="J113" s="51"/>
    </row>
    <row r="114" spans="1:10" hidden="1" x14ac:dyDescent="0.25">
      <c r="A114" s="58" t="s">
        <v>65</v>
      </c>
      <c r="B114" s="50">
        <v>3000</v>
      </c>
      <c r="C114" s="50">
        <v>100</v>
      </c>
      <c r="D114" s="87"/>
      <c r="E114" s="137"/>
      <c r="F114" s="59">
        <f>SUM(F115:F118)</f>
        <v>0</v>
      </c>
      <c r="G114" s="59">
        <f>SUM(G115:G118)</f>
        <v>0</v>
      </c>
      <c r="H114" s="59">
        <f>SUM(H115:H118)</f>
        <v>0</v>
      </c>
      <c r="I114" s="51"/>
      <c r="J114" s="50" t="s">
        <v>7</v>
      </c>
    </row>
    <row r="115" spans="1:10" hidden="1" x14ac:dyDescent="0.25">
      <c r="A115" s="58" t="s">
        <v>11</v>
      </c>
      <c r="B115" s="250">
        <v>3010</v>
      </c>
      <c r="C115" s="254"/>
      <c r="D115" s="250"/>
      <c r="E115" s="250"/>
      <c r="F115" s="253"/>
      <c r="G115" s="253"/>
      <c r="H115" s="253"/>
      <c r="I115" s="252"/>
      <c r="J115" s="250" t="s">
        <v>7</v>
      </c>
    </row>
    <row r="116" spans="1:10" hidden="1" x14ac:dyDescent="0.25">
      <c r="A116" s="58" t="s">
        <v>66</v>
      </c>
      <c r="B116" s="250"/>
      <c r="C116" s="254"/>
      <c r="D116" s="250"/>
      <c r="E116" s="250"/>
      <c r="F116" s="253"/>
      <c r="G116" s="253"/>
      <c r="H116" s="253"/>
      <c r="I116" s="252"/>
      <c r="J116" s="250"/>
    </row>
    <row r="117" spans="1:10" hidden="1" x14ac:dyDescent="0.25">
      <c r="A117" s="58" t="s">
        <v>67</v>
      </c>
      <c r="B117" s="50">
        <v>3020</v>
      </c>
      <c r="C117" s="52"/>
      <c r="D117" s="87"/>
      <c r="E117" s="137"/>
      <c r="F117" s="59"/>
      <c r="G117" s="59"/>
      <c r="H117" s="59"/>
      <c r="I117" s="51"/>
      <c r="J117" s="50" t="s">
        <v>7</v>
      </c>
    </row>
    <row r="118" spans="1:10" hidden="1" x14ac:dyDescent="0.25">
      <c r="A118" s="58" t="s">
        <v>68</v>
      </c>
      <c r="B118" s="50">
        <v>3030</v>
      </c>
      <c r="C118" s="52"/>
      <c r="D118" s="87"/>
      <c r="E118" s="137"/>
      <c r="F118" s="59">
        <v>0</v>
      </c>
      <c r="G118" s="59">
        <v>0</v>
      </c>
      <c r="H118" s="59">
        <v>0</v>
      </c>
      <c r="I118" s="51"/>
      <c r="J118" s="50" t="s">
        <v>7</v>
      </c>
    </row>
    <row r="119" spans="1:10" hidden="1" x14ac:dyDescent="0.25">
      <c r="A119" s="58" t="s">
        <v>69</v>
      </c>
      <c r="B119" s="50">
        <v>4000</v>
      </c>
      <c r="C119" s="50" t="s">
        <v>7</v>
      </c>
      <c r="D119" s="87"/>
      <c r="E119" s="137"/>
      <c r="F119" s="59">
        <f>SUM(F120)</f>
        <v>0</v>
      </c>
      <c r="G119" s="59">
        <f>SUM(G120)</f>
        <v>0</v>
      </c>
      <c r="H119" s="59">
        <f>SUM(H120)</f>
        <v>0</v>
      </c>
      <c r="I119" s="51"/>
      <c r="J119" s="50" t="s">
        <v>7</v>
      </c>
    </row>
    <row r="120" spans="1:10" hidden="1" x14ac:dyDescent="0.25">
      <c r="A120" s="58" t="s">
        <v>32</v>
      </c>
      <c r="B120" s="250">
        <v>4010</v>
      </c>
      <c r="C120" s="250">
        <v>610</v>
      </c>
      <c r="D120" s="250"/>
      <c r="E120" s="250"/>
      <c r="F120" s="253">
        <v>0</v>
      </c>
      <c r="G120" s="253">
        <v>0</v>
      </c>
      <c r="H120" s="253">
        <v>0</v>
      </c>
      <c r="I120" s="252"/>
      <c r="J120" s="250" t="s">
        <v>7</v>
      </c>
    </row>
    <row r="121" spans="1:10" hidden="1" x14ac:dyDescent="0.25">
      <c r="A121" s="58" t="s">
        <v>70</v>
      </c>
      <c r="B121" s="250"/>
      <c r="C121" s="250"/>
      <c r="D121" s="250"/>
      <c r="E121" s="250"/>
      <c r="F121" s="253"/>
      <c r="G121" s="253"/>
      <c r="H121" s="253"/>
      <c r="I121" s="252"/>
      <c r="J121" s="250"/>
    </row>
    <row r="122" spans="1:10" hidden="1" x14ac:dyDescent="0.25"/>
    <row r="124" spans="1:10" x14ac:dyDescent="0.25">
      <c r="A124" s="295" t="s">
        <v>204</v>
      </c>
      <c r="B124" s="295"/>
      <c r="C124" s="295"/>
      <c r="D124" s="295"/>
      <c r="F124" s="41" t="s">
        <v>205</v>
      </c>
      <c r="G124" s="41" t="s">
        <v>228</v>
      </c>
    </row>
    <row r="125" spans="1:10" ht="12.6" x14ac:dyDescent="0.25">
      <c r="A125" s="295"/>
      <c r="B125" s="295"/>
      <c r="C125" s="295"/>
      <c r="D125" s="295"/>
      <c r="F125" s="63" t="s">
        <v>206</v>
      </c>
      <c r="G125" s="63" t="s">
        <v>207</v>
      </c>
    </row>
    <row r="126" spans="1:10" hidden="1" x14ac:dyDescent="0.25">
      <c r="A126" s="295" t="s">
        <v>220</v>
      </c>
      <c r="B126" s="295"/>
      <c r="C126" s="295"/>
      <c r="D126" s="295"/>
      <c r="F126" s="41" t="s">
        <v>205</v>
      </c>
      <c r="G126" s="41" t="s">
        <v>280</v>
      </c>
    </row>
    <row r="127" spans="1:10" ht="12.6" hidden="1" x14ac:dyDescent="0.25">
      <c r="A127" s="295"/>
      <c r="B127" s="295"/>
      <c r="C127" s="295"/>
      <c r="D127" s="295"/>
      <c r="F127" s="63" t="s">
        <v>206</v>
      </c>
      <c r="G127" s="63" t="s">
        <v>207</v>
      </c>
    </row>
    <row r="128" spans="1:10" ht="13.2" x14ac:dyDescent="0.25">
      <c r="A128" s="295"/>
      <c r="B128" s="295"/>
      <c r="C128" s="295"/>
      <c r="D128" s="295"/>
      <c r="E128" s="111"/>
      <c r="F128" s="62"/>
      <c r="G128" s="62"/>
      <c r="H128" s="62"/>
    </row>
    <row r="129" spans="1:8" ht="13.2" x14ac:dyDescent="0.25">
      <c r="A129" s="296" t="s">
        <v>245</v>
      </c>
      <c r="B129" s="296"/>
      <c r="C129" s="296"/>
      <c r="D129" s="296"/>
      <c r="E129" s="294" t="str">
        <f>Титул!C11</f>
        <v>«09» января 2025 года</v>
      </c>
      <c r="F129" s="294"/>
      <c r="G129" s="62"/>
      <c r="H129" s="62"/>
    </row>
  </sheetData>
  <mergeCells count="224">
    <mergeCell ref="A32:A33"/>
    <mergeCell ref="E129:F129"/>
    <mergeCell ref="A124:D125"/>
    <mergeCell ref="A126:D127"/>
    <mergeCell ref="A128:D128"/>
    <mergeCell ref="A129:D129"/>
    <mergeCell ref="C98:C105"/>
    <mergeCell ref="B98:B105"/>
    <mergeCell ref="A99:A105"/>
    <mergeCell ref="B80:B81"/>
    <mergeCell ref="C80:C81"/>
    <mergeCell ref="B78:B79"/>
    <mergeCell ref="C78:C79"/>
    <mergeCell ref="D42:D50"/>
    <mergeCell ref="C42:C50"/>
    <mergeCell ref="B42:B50"/>
    <mergeCell ref="D51:D53"/>
    <mergeCell ref="C51:C53"/>
    <mergeCell ref="B51:B53"/>
    <mergeCell ref="A42:A53"/>
    <mergeCell ref="D74:D76"/>
    <mergeCell ref="D65:D67"/>
    <mergeCell ref="C65:C67"/>
    <mergeCell ref="B65:B67"/>
    <mergeCell ref="C74:C76"/>
    <mergeCell ref="B74:B76"/>
    <mergeCell ref="A74:A76"/>
    <mergeCell ref="B63:B64"/>
    <mergeCell ref="C63:C64"/>
    <mergeCell ref="D63:D64"/>
    <mergeCell ref="A71:A72"/>
    <mergeCell ref="A68:A69"/>
    <mergeCell ref="A66:A67"/>
    <mergeCell ref="A3:A5"/>
    <mergeCell ref="B3:B5"/>
    <mergeCell ref="C3:C5"/>
    <mergeCell ref="D3:D5"/>
    <mergeCell ref="B18:B19"/>
    <mergeCell ref="C18:C19"/>
    <mergeCell ref="D18:D19"/>
    <mergeCell ref="B24:B25"/>
    <mergeCell ref="C24:C25"/>
    <mergeCell ref="D24:D25"/>
    <mergeCell ref="A16:A17"/>
    <mergeCell ref="B38:B39"/>
    <mergeCell ref="C38:C39"/>
    <mergeCell ref="D38:D39"/>
    <mergeCell ref="E3:E5"/>
    <mergeCell ref="F3:J3"/>
    <mergeCell ref="F4:H4"/>
    <mergeCell ref="I4:I5"/>
    <mergeCell ref="J4:J5"/>
    <mergeCell ref="I11:I12"/>
    <mergeCell ref="H15:H16"/>
    <mergeCell ref="G15:G16"/>
    <mergeCell ref="H9:H10"/>
    <mergeCell ref="I9:I10"/>
    <mergeCell ref="J9:J10"/>
    <mergeCell ref="B11:B12"/>
    <mergeCell ref="C11:C12"/>
    <mergeCell ref="D11:D12"/>
    <mergeCell ref="E11:E12"/>
    <mergeCell ref="F11:F12"/>
    <mergeCell ref="J11:J12"/>
    <mergeCell ref="B15:B17"/>
    <mergeCell ref="E18:E19"/>
    <mergeCell ref="F18:F19"/>
    <mergeCell ref="G18:G19"/>
    <mergeCell ref="H18:H19"/>
    <mergeCell ref="B9:B10"/>
    <mergeCell ref="C9:C10"/>
    <mergeCell ref="D9:D10"/>
    <mergeCell ref="E9:E10"/>
    <mergeCell ref="F9:F10"/>
    <mergeCell ref="G9:G10"/>
    <mergeCell ref="I18:I19"/>
    <mergeCell ref="J18:J19"/>
    <mergeCell ref="G11:G12"/>
    <mergeCell ref="H11:H12"/>
    <mergeCell ref="C15:C17"/>
    <mergeCell ref="D15:D17"/>
    <mergeCell ref="H20:H21"/>
    <mergeCell ref="I20:I21"/>
    <mergeCell ref="J20:J21"/>
    <mergeCell ref="B22:B23"/>
    <mergeCell ref="C22:C23"/>
    <mergeCell ref="D22:D23"/>
    <mergeCell ref="E22:E23"/>
    <mergeCell ref="F22:F23"/>
    <mergeCell ref="G22:G23"/>
    <mergeCell ref="H22:H23"/>
    <mergeCell ref="B20:B21"/>
    <mergeCell ref="C20:C21"/>
    <mergeCell ref="D20:D21"/>
    <mergeCell ref="E20:E21"/>
    <mergeCell ref="F20:F21"/>
    <mergeCell ref="G20:G21"/>
    <mergeCell ref="I22:I23"/>
    <mergeCell ref="J22:J23"/>
    <mergeCell ref="E24:E25"/>
    <mergeCell ref="F24:F25"/>
    <mergeCell ref="G24:G25"/>
    <mergeCell ref="H24:H25"/>
    <mergeCell ref="I24:I25"/>
    <mergeCell ref="J24:J25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E34:E35"/>
    <mergeCell ref="F34:F35"/>
    <mergeCell ref="G34:G35"/>
    <mergeCell ref="H34:H35"/>
    <mergeCell ref="B31:B33"/>
    <mergeCell ref="C31:C33"/>
    <mergeCell ref="I34:I35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B34:B35"/>
    <mergeCell ref="C34:C35"/>
    <mergeCell ref="D34:D35"/>
    <mergeCell ref="E38:E39"/>
    <mergeCell ref="F38:F39"/>
    <mergeCell ref="G38:G39"/>
    <mergeCell ref="H38:H39"/>
    <mergeCell ref="I38:I39"/>
    <mergeCell ref="J38:J39"/>
    <mergeCell ref="H59:H60"/>
    <mergeCell ref="I59:I60"/>
    <mergeCell ref="J59:J60"/>
    <mergeCell ref="B61:B62"/>
    <mergeCell ref="C61:C62"/>
    <mergeCell ref="D61:D62"/>
    <mergeCell ref="E61:E62"/>
    <mergeCell ref="F61:F62"/>
    <mergeCell ref="G61:G62"/>
    <mergeCell ref="H61:H62"/>
    <mergeCell ref="B59:B60"/>
    <mergeCell ref="C59:C60"/>
    <mergeCell ref="D59:D60"/>
    <mergeCell ref="E59:E60"/>
    <mergeCell ref="F59:F60"/>
    <mergeCell ref="G59:G60"/>
    <mergeCell ref="I61:I62"/>
    <mergeCell ref="J61:J62"/>
    <mergeCell ref="E63:E64"/>
    <mergeCell ref="F63:F64"/>
    <mergeCell ref="G63:G64"/>
    <mergeCell ref="H63:H64"/>
    <mergeCell ref="I63:I64"/>
    <mergeCell ref="J63:J64"/>
    <mergeCell ref="D110:D111"/>
    <mergeCell ref="E110:E111"/>
    <mergeCell ref="F110:F111"/>
    <mergeCell ref="G110:G111"/>
    <mergeCell ref="H78:H79"/>
    <mergeCell ref="I78:I79"/>
    <mergeCell ref="J78:J79"/>
    <mergeCell ref="D80:D81"/>
    <mergeCell ref="E80:E81"/>
    <mergeCell ref="F80:F81"/>
    <mergeCell ref="G80:G81"/>
    <mergeCell ref="H80:H81"/>
    <mergeCell ref="D78:D79"/>
    <mergeCell ref="E78:E79"/>
    <mergeCell ref="F78:F79"/>
    <mergeCell ref="G78:G79"/>
    <mergeCell ref="I80:I81"/>
    <mergeCell ref="J80:J81"/>
    <mergeCell ref="J85:J86"/>
    <mergeCell ref="B90:B91"/>
    <mergeCell ref="C90:C91"/>
    <mergeCell ref="D90:D91"/>
    <mergeCell ref="E90:E91"/>
    <mergeCell ref="F90:F91"/>
    <mergeCell ref="G90:G91"/>
    <mergeCell ref="H90:H91"/>
    <mergeCell ref="I90:I91"/>
    <mergeCell ref="J90:J91"/>
    <mergeCell ref="B85:B86"/>
    <mergeCell ref="C85:C86"/>
    <mergeCell ref="D85:D86"/>
    <mergeCell ref="E85:E86"/>
    <mergeCell ref="F85:F86"/>
    <mergeCell ref="G85:G86"/>
    <mergeCell ref="H85:H86"/>
    <mergeCell ref="I85:I86"/>
    <mergeCell ref="J120:J121"/>
    <mergeCell ref="B1:I1"/>
    <mergeCell ref="I115:I116"/>
    <mergeCell ref="J115:J116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H110:H111"/>
    <mergeCell ref="I110:I111"/>
    <mergeCell ref="J110:J111"/>
    <mergeCell ref="B115:B116"/>
    <mergeCell ref="C115:C116"/>
    <mergeCell ref="D115:D116"/>
    <mergeCell ref="E115:E116"/>
    <mergeCell ref="F115:F116"/>
    <mergeCell ref="G115:G116"/>
    <mergeCell ref="H115:H116"/>
    <mergeCell ref="B110:B111"/>
    <mergeCell ref="C110:C111"/>
  </mergeCells>
  <pageMargins left="0.19" right="0.13" top="0.3" bottom="0.32" header="0.3" footer="0.3"/>
  <pageSetup paperSize="9" scale="90" fitToHeight="0" orientation="landscape" horizontalDpi="360" verticalDpi="360" r:id="rId1"/>
  <rowBreaks count="1" manualBreakCount="1">
    <brk id="5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39997558519241921"/>
    <pageSetUpPr fitToPage="1"/>
  </sheetPr>
  <dimension ref="A1:P20"/>
  <sheetViews>
    <sheetView workbookViewId="0">
      <selection activeCell="A10" sqref="A10:E10"/>
    </sheetView>
  </sheetViews>
  <sheetFormatPr defaultRowHeight="14.4" x14ac:dyDescent="0.3"/>
  <cols>
    <col min="2" max="2" width="25.88671875" customWidth="1"/>
    <col min="3" max="3" width="18.6640625" customWidth="1"/>
    <col min="4" max="4" width="16.6640625" customWidth="1"/>
    <col min="5" max="5" width="17.88671875" customWidth="1"/>
  </cols>
  <sheetData>
    <row r="1" spans="1:16" x14ac:dyDescent="0.3">
      <c r="C1" s="314" t="s">
        <v>182</v>
      </c>
      <c r="D1" s="314"/>
      <c r="E1" s="314"/>
      <c r="F1" s="140"/>
      <c r="L1" s="1"/>
      <c r="M1" s="1"/>
      <c r="N1" s="1"/>
    </row>
    <row r="2" spans="1:16" ht="49.5" customHeight="1" x14ac:dyDescent="0.3">
      <c r="C2" s="334" t="s">
        <v>381</v>
      </c>
      <c r="D2" s="334"/>
      <c r="E2" s="334"/>
      <c r="F2" s="143"/>
      <c r="L2" s="1"/>
      <c r="M2" s="1"/>
      <c r="N2" s="1"/>
    </row>
    <row r="3" spans="1:16" ht="15.6" x14ac:dyDescent="0.3">
      <c r="C3" s="335" t="s">
        <v>238</v>
      </c>
      <c r="D3" s="335"/>
      <c r="E3" s="335"/>
      <c r="F3" s="72"/>
      <c r="L3" s="1"/>
      <c r="M3" s="1"/>
      <c r="N3" s="1"/>
      <c r="O3" s="1"/>
      <c r="P3" s="1"/>
    </row>
    <row r="4" spans="1:16" ht="15.6" x14ac:dyDescent="0.3">
      <c r="C4" s="144"/>
      <c r="D4" s="144"/>
      <c r="E4" s="144"/>
      <c r="F4" s="72"/>
      <c r="L4" s="1"/>
      <c r="M4" s="1"/>
      <c r="N4" s="1"/>
      <c r="O4" s="1"/>
      <c r="P4" s="1"/>
    </row>
    <row r="5" spans="1:16" ht="15.6" x14ac:dyDescent="0.3">
      <c r="A5" s="312" t="s">
        <v>240</v>
      </c>
      <c r="B5" s="312"/>
      <c r="C5" s="312"/>
      <c r="D5" s="312"/>
      <c r="E5" s="312"/>
      <c r="F5" s="73"/>
      <c r="L5" s="1"/>
      <c r="M5" s="1"/>
      <c r="N5" s="1"/>
      <c r="O5" s="1"/>
      <c r="P5" s="1"/>
    </row>
    <row r="6" spans="1:16" ht="15.6" x14ac:dyDescent="0.3">
      <c r="A6" s="329">
        <v>45666</v>
      </c>
      <c r="B6" s="329"/>
      <c r="C6" s="329"/>
      <c r="D6" s="329"/>
      <c r="E6" s="329"/>
      <c r="F6" s="115"/>
      <c r="L6" s="1"/>
      <c r="M6" s="1"/>
      <c r="N6" s="1"/>
      <c r="O6" s="1"/>
      <c r="P6" s="1"/>
    </row>
    <row r="7" spans="1:16" x14ac:dyDescent="0.3">
      <c r="L7" s="1"/>
      <c r="M7" s="1"/>
      <c r="N7" s="1"/>
      <c r="O7" s="1"/>
      <c r="P7" s="1"/>
    </row>
    <row r="8" spans="1:16" ht="17.399999999999999" x14ac:dyDescent="0.3">
      <c r="A8" s="351" t="s">
        <v>285</v>
      </c>
      <c r="B8" s="351"/>
      <c r="C8" s="351"/>
      <c r="D8" s="351"/>
      <c r="E8" s="351"/>
      <c r="P8" s="1"/>
    </row>
    <row r="9" spans="1:16" s="72" customFormat="1" ht="15.6" x14ac:dyDescent="0.3">
      <c r="A9" s="345" t="s">
        <v>344</v>
      </c>
      <c r="B9" s="345"/>
      <c r="C9" s="345"/>
      <c r="D9" s="345"/>
      <c r="E9" s="345"/>
      <c r="F9" s="73"/>
      <c r="G9" s="73"/>
    </row>
    <row r="10" spans="1:16" s="74" customFormat="1" ht="15.6" x14ac:dyDescent="0.3">
      <c r="A10" s="346" t="s">
        <v>284</v>
      </c>
      <c r="B10" s="346"/>
      <c r="C10" s="346"/>
      <c r="D10" s="346"/>
      <c r="E10" s="346"/>
    </row>
    <row r="11" spans="1:16" ht="17.399999999999999" x14ac:dyDescent="0.3">
      <c r="B11" s="352"/>
      <c r="C11" s="316"/>
      <c r="D11" s="316"/>
      <c r="E11" s="316"/>
      <c r="F11" s="1"/>
    </row>
    <row r="12" spans="1:16" ht="24" x14ac:dyDescent="0.3">
      <c r="A12" s="257" t="s">
        <v>71</v>
      </c>
      <c r="B12" s="257" t="s">
        <v>113</v>
      </c>
      <c r="C12" s="257" t="s">
        <v>137</v>
      </c>
      <c r="D12" s="257" t="s">
        <v>138</v>
      </c>
      <c r="E12" s="80" t="s">
        <v>139</v>
      </c>
    </row>
    <row r="13" spans="1:16" x14ac:dyDescent="0.3">
      <c r="A13" s="257"/>
      <c r="B13" s="257"/>
      <c r="C13" s="257"/>
      <c r="D13" s="257"/>
      <c r="E13" s="82" t="s">
        <v>129</v>
      </c>
    </row>
    <row r="14" spans="1:16" x14ac:dyDescent="0.3">
      <c r="A14" s="82">
        <v>1</v>
      </c>
      <c r="B14" s="82">
        <v>2</v>
      </c>
      <c r="C14" s="82">
        <v>3</v>
      </c>
      <c r="D14" s="82">
        <v>4</v>
      </c>
      <c r="E14" s="82">
        <v>5</v>
      </c>
    </row>
    <row r="15" spans="1:16" x14ac:dyDescent="0.3">
      <c r="A15" s="82"/>
      <c r="B15" s="342" t="s">
        <v>232</v>
      </c>
      <c r="C15" s="343"/>
      <c r="D15" s="344"/>
      <c r="E15" s="114">
        <f>E17</f>
        <v>40000</v>
      </c>
    </row>
    <row r="16" spans="1:16" ht="24" x14ac:dyDescent="0.3">
      <c r="A16" s="195">
        <v>1</v>
      </c>
      <c r="B16" s="207" t="s">
        <v>389</v>
      </c>
      <c r="C16" s="8">
        <v>20000</v>
      </c>
      <c r="D16" s="195">
        <v>2</v>
      </c>
      <c r="E16" s="8">
        <f>C16*D16</f>
        <v>40000</v>
      </c>
    </row>
    <row r="17" spans="1:5" hidden="1" x14ac:dyDescent="0.3">
      <c r="A17" s="7"/>
      <c r="B17" s="7" t="s">
        <v>112</v>
      </c>
      <c r="C17" s="8">
        <f>SUM(C16:C16)</f>
        <v>20000</v>
      </c>
      <c r="D17" s="14">
        <f>SUM(D16:D16)</f>
        <v>2</v>
      </c>
      <c r="E17" s="8">
        <f>SUM(E16:E16)</f>
        <v>40000</v>
      </c>
    </row>
    <row r="18" spans="1:5" x14ac:dyDescent="0.3">
      <c r="A18" s="82"/>
      <c r="B18" s="342" t="s">
        <v>233</v>
      </c>
      <c r="C18" s="343"/>
      <c r="D18" s="344"/>
      <c r="E18" s="114">
        <f>SUM(E19:E19)</f>
        <v>40000</v>
      </c>
    </row>
    <row r="19" spans="1:5" ht="24" x14ac:dyDescent="0.3">
      <c r="A19" s="195">
        <v>1</v>
      </c>
      <c r="B19" s="207" t="s">
        <v>389</v>
      </c>
      <c r="C19" s="8">
        <v>20000</v>
      </c>
      <c r="D19" s="195">
        <v>2</v>
      </c>
      <c r="E19" s="8">
        <f>C19*D19</f>
        <v>40000</v>
      </c>
    </row>
    <row r="20" spans="1:5" x14ac:dyDescent="0.3">
      <c r="A20" s="7"/>
      <c r="B20" s="342" t="s">
        <v>234</v>
      </c>
      <c r="C20" s="343"/>
      <c r="D20" s="344"/>
      <c r="E20" s="112">
        <f>E18-E15</f>
        <v>0</v>
      </c>
    </row>
  </sheetData>
  <mergeCells count="16">
    <mergeCell ref="C1:E1"/>
    <mergeCell ref="B18:D18"/>
    <mergeCell ref="B20:D20"/>
    <mergeCell ref="A12:A13"/>
    <mergeCell ref="B12:B13"/>
    <mergeCell ref="C12:C13"/>
    <mergeCell ref="D12:D13"/>
    <mergeCell ref="C2:E2"/>
    <mergeCell ref="C3:E3"/>
    <mergeCell ref="A6:E6"/>
    <mergeCell ref="A5:E5"/>
    <mergeCell ref="B15:D15"/>
    <mergeCell ref="A8:E8"/>
    <mergeCell ref="B11:E11"/>
    <mergeCell ref="A9:E9"/>
    <mergeCell ref="A10:E10"/>
  </mergeCells>
  <pageMargins left="0.17" right="0.17" top="0.75" bottom="0.28999999999999998" header="0.3" footer="0.3"/>
  <pageSetup paperSize="9" fitToHeight="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39997558519241921"/>
    <pageSetUpPr fitToPage="1"/>
  </sheetPr>
  <dimension ref="A1:P25"/>
  <sheetViews>
    <sheetView workbookViewId="0">
      <selection activeCell="A17" sqref="A17:XFD27"/>
    </sheetView>
  </sheetViews>
  <sheetFormatPr defaultRowHeight="14.4" x14ac:dyDescent="0.3"/>
  <cols>
    <col min="2" max="2" width="25.88671875" customWidth="1"/>
    <col min="3" max="3" width="23" customWidth="1"/>
    <col min="4" max="4" width="17.5546875" customWidth="1"/>
    <col min="5" max="5" width="17.6640625" customWidth="1"/>
  </cols>
  <sheetData>
    <row r="1" spans="1:16" x14ac:dyDescent="0.3">
      <c r="B1" s="1"/>
      <c r="C1" s="314" t="s">
        <v>182</v>
      </c>
      <c r="D1" s="314"/>
      <c r="E1" s="314"/>
      <c r="L1" s="1"/>
      <c r="M1" s="1"/>
      <c r="N1" s="1"/>
    </row>
    <row r="2" spans="1:16" ht="48.75" customHeight="1" x14ac:dyDescent="0.3">
      <c r="B2" s="1"/>
      <c r="C2" s="334" t="s">
        <v>381</v>
      </c>
      <c r="D2" s="334"/>
      <c r="E2" s="334"/>
      <c r="L2" s="1"/>
      <c r="M2" s="1"/>
      <c r="N2" s="1"/>
    </row>
    <row r="3" spans="1:16" ht="15.6" x14ac:dyDescent="0.3">
      <c r="B3" s="1"/>
      <c r="C3" s="335" t="s">
        <v>238</v>
      </c>
      <c r="D3" s="335"/>
      <c r="E3" s="335"/>
      <c r="L3" s="1"/>
      <c r="M3" s="1"/>
      <c r="N3" s="1"/>
      <c r="O3" s="1"/>
      <c r="P3" s="1"/>
    </row>
    <row r="4" spans="1:16" x14ac:dyDescent="0.3">
      <c r="B4" s="1"/>
      <c r="C4" s="1"/>
      <c r="D4" s="1"/>
      <c r="L4" s="1"/>
      <c r="M4" s="1"/>
      <c r="N4" s="1"/>
      <c r="O4" s="1"/>
      <c r="P4" s="1"/>
    </row>
    <row r="5" spans="1:16" x14ac:dyDescent="0.3">
      <c r="L5" s="1"/>
      <c r="M5" s="1"/>
      <c r="N5" s="1"/>
      <c r="O5" s="1"/>
      <c r="P5" s="1"/>
    </row>
    <row r="6" spans="1:16" ht="15.6" hidden="1" x14ac:dyDescent="0.3">
      <c r="A6" s="312" t="s">
        <v>240</v>
      </c>
      <c r="B6" s="312"/>
      <c r="C6" s="312"/>
      <c r="D6" s="312"/>
      <c r="E6" s="312"/>
      <c r="L6" s="1"/>
      <c r="M6" s="1"/>
      <c r="N6" s="1"/>
      <c r="O6" s="1"/>
      <c r="P6" s="1"/>
    </row>
    <row r="7" spans="1:16" ht="15.6" x14ac:dyDescent="0.3">
      <c r="A7" s="329">
        <v>45666</v>
      </c>
      <c r="B7" s="329"/>
      <c r="C7" s="329"/>
      <c r="D7" s="329"/>
      <c r="E7" s="329"/>
      <c r="L7" s="1"/>
      <c r="M7" s="1"/>
      <c r="N7" s="1"/>
      <c r="O7" s="1"/>
      <c r="P7" s="1"/>
    </row>
    <row r="8" spans="1:16" x14ac:dyDescent="0.3">
      <c r="L8" s="1"/>
      <c r="M8" s="1"/>
      <c r="N8" s="1"/>
      <c r="O8" s="1"/>
      <c r="P8" s="1"/>
    </row>
    <row r="9" spans="1:16" ht="17.399999999999999" x14ac:dyDescent="0.3">
      <c r="B9" s="316" t="s">
        <v>136</v>
      </c>
      <c r="C9" s="316"/>
      <c r="D9" s="316"/>
      <c r="E9" s="316"/>
      <c r="P9" s="1"/>
    </row>
    <row r="10" spans="1:16" s="72" customFormat="1" ht="15.6" x14ac:dyDescent="0.3">
      <c r="A10" s="345" t="s">
        <v>344</v>
      </c>
      <c r="B10" s="345"/>
      <c r="C10" s="345"/>
      <c r="D10" s="345"/>
      <c r="E10" s="345"/>
      <c r="G10" s="73"/>
    </row>
    <row r="11" spans="1:16" s="74" customFormat="1" ht="15.6" x14ac:dyDescent="0.3">
      <c r="B11" s="346" t="s">
        <v>242</v>
      </c>
      <c r="C11" s="346"/>
      <c r="D11" s="346"/>
      <c r="E11" s="346"/>
    </row>
    <row r="12" spans="1:16" ht="16.5" customHeight="1" x14ac:dyDescent="0.3"/>
    <row r="13" spans="1:16" ht="23.25" customHeight="1" x14ac:dyDescent="0.3">
      <c r="A13" s="257" t="s">
        <v>71</v>
      </c>
      <c r="B13" s="289" t="s">
        <v>113</v>
      </c>
      <c r="C13" s="257" t="s">
        <v>133</v>
      </c>
      <c r="D13" s="257" t="s">
        <v>134</v>
      </c>
      <c r="E13" s="80" t="s">
        <v>135</v>
      </c>
    </row>
    <row r="14" spans="1:16" x14ac:dyDescent="0.3">
      <c r="A14" s="257"/>
      <c r="B14" s="350"/>
      <c r="C14" s="257"/>
      <c r="D14" s="257"/>
      <c r="E14" s="82" t="s">
        <v>129</v>
      </c>
    </row>
    <row r="15" spans="1:16" x14ac:dyDescent="0.3">
      <c r="A15" s="82">
        <v>1</v>
      </c>
      <c r="B15" s="82">
        <v>2</v>
      </c>
      <c r="C15" s="82">
        <v>3</v>
      </c>
      <c r="D15" s="82">
        <v>4</v>
      </c>
      <c r="E15" s="82">
        <v>5</v>
      </c>
    </row>
    <row r="16" spans="1:16" x14ac:dyDescent="0.3">
      <c r="A16" s="82"/>
      <c r="B16" s="342" t="s">
        <v>232</v>
      </c>
      <c r="C16" s="343"/>
      <c r="D16" s="344"/>
      <c r="E16" s="114">
        <f>E20</f>
        <v>12000</v>
      </c>
      <c r="J16" s="2"/>
    </row>
    <row r="17" spans="1:9" x14ac:dyDescent="0.3">
      <c r="A17" s="82">
        <v>1</v>
      </c>
      <c r="B17" s="31" t="s">
        <v>243</v>
      </c>
      <c r="C17" s="79" t="s">
        <v>241</v>
      </c>
      <c r="D17" s="116">
        <v>1</v>
      </c>
      <c r="E17" s="8">
        <v>12000</v>
      </c>
    </row>
    <row r="18" spans="1:9" ht="15" hidden="1" customHeight="1" x14ac:dyDescent="0.3">
      <c r="A18" s="82"/>
      <c r="B18" s="31"/>
      <c r="C18" s="79"/>
      <c r="D18" s="116"/>
      <c r="E18" s="8"/>
    </row>
    <row r="19" spans="1:9" ht="15" hidden="1" customHeight="1" x14ac:dyDescent="0.3">
      <c r="A19" s="79"/>
      <c r="B19" s="31"/>
      <c r="C19" s="8"/>
      <c r="D19" s="75"/>
      <c r="E19" s="8"/>
      <c r="I19" s="21"/>
    </row>
    <row r="20" spans="1:9" ht="15" hidden="1" customHeight="1" x14ac:dyDescent="0.3">
      <c r="A20" s="7"/>
      <c r="B20" s="7" t="s">
        <v>112</v>
      </c>
      <c r="C20" s="8">
        <f>SUM(C17:C19)</f>
        <v>0</v>
      </c>
      <c r="D20" s="14">
        <f>SUM(D17:D19)</f>
        <v>1</v>
      </c>
      <c r="E20" s="8">
        <f>SUM(E17:E19)</f>
        <v>12000</v>
      </c>
    </row>
    <row r="21" spans="1:9" ht="15" customHeight="1" x14ac:dyDescent="0.3">
      <c r="A21" s="82"/>
      <c r="B21" s="342" t="s">
        <v>233</v>
      </c>
      <c r="C21" s="343"/>
      <c r="D21" s="344"/>
      <c r="E21" s="114">
        <f>SUM(E22:E24)</f>
        <v>0</v>
      </c>
    </row>
    <row r="22" spans="1:9" x14ac:dyDescent="0.3">
      <c r="A22" s="82">
        <v>1</v>
      </c>
      <c r="B22" s="31" t="s">
        <v>243</v>
      </c>
      <c r="C22" s="79" t="s">
        <v>241</v>
      </c>
      <c r="D22" s="116">
        <v>1</v>
      </c>
      <c r="E22" s="8">
        <v>0</v>
      </c>
    </row>
    <row r="23" spans="1:9" ht="15" hidden="1" customHeight="1" x14ac:dyDescent="0.3">
      <c r="A23" s="82"/>
      <c r="B23" s="31"/>
      <c r="C23" s="79"/>
      <c r="D23" s="116"/>
      <c r="E23" s="8"/>
    </row>
    <row r="24" spans="1:9" ht="15" hidden="1" customHeight="1" x14ac:dyDescent="0.3">
      <c r="A24" s="79"/>
      <c r="B24" s="31"/>
      <c r="C24" s="8"/>
      <c r="D24" s="75"/>
      <c r="E24" s="8"/>
    </row>
    <row r="25" spans="1:9" ht="15" customHeight="1" x14ac:dyDescent="0.3">
      <c r="A25" s="7"/>
      <c r="B25" s="342" t="s">
        <v>234</v>
      </c>
      <c r="C25" s="343"/>
      <c r="D25" s="344"/>
      <c r="E25" s="112">
        <f>E21-E16</f>
        <v>-12000</v>
      </c>
    </row>
  </sheetData>
  <mergeCells count="15">
    <mergeCell ref="B21:D21"/>
    <mergeCell ref="B25:D25"/>
    <mergeCell ref="C3:E3"/>
    <mergeCell ref="A10:E10"/>
    <mergeCell ref="B9:E9"/>
    <mergeCell ref="A13:A14"/>
    <mergeCell ref="B13:B14"/>
    <mergeCell ref="C13:C14"/>
    <mergeCell ref="D13:D14"/>
    <mergeCell ref="B11:E11"/>
    <mergeCell ref="C1:E1"/>
    <mergeCell ref="C2:E2"/>
    <mergeCell ref="A6:E6"/>
    <mergeCell ref="A7:E7"/>
    <mergeCell ref="B16:D16"/>
  </mergeCells>
  <pageMargins left="0.25" right="0.17" top="0.75" bottom="0.28999999999999998" header="0.3" footer="0.3"/>
  <pageSetup paperSize="9" fitToHeight="0" orientation="portrait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P49"/>
  <sheetViews>
    <sheetView workbookViewId="0">
      <selection activeCell="J15" sqref="J15"/>
    </sheetView>
  </sheetViews>
  <sheetFormatPr defaultRowHeight="14.4" x14ac:dyDescent="0.3"/>
  <cols>
    <col min="2" max="2" width="23.44140625" customWidth="1"/>
    <col min="3" max="3" width="16.109375" customWidth="1"/>
    <col min="4" max="4" width="19.109375" customWidth="1"/>
    <col min="5" max="5" width="17.6640625" customWidth="1"/>
    <col min="6" max="6" width="17" customWidth="1"/>
    <col min="7" max="7" width="14.5546875" customWidth="1"/>
    <col min="8" max="8" width="11.5546875" bestFit="1" customWidth="1"/>
  </cols>
  <sheetData>
    <row r="1" spans="1:16" x14ac:dyDescent="0.3">
      <c r="C1" s="314" t="s">
        <v>182</v>
      </c>
      <c r="D1" s="314"/>
      <c r="E1" s="314"/>
      <c r="F1" s="140"/>
      <c r="L1" s="1"/>
      <c r="M1" s="1"/>
      <c r="N1" s="1"/>
    </row>
    <row r="2" spans="1:16" ht="49.5" customHeight="1" x14ac:dyDescent="0.3">
      <c r="C2" s="334" t="s">
        <v>239</v>
      </c>
      <c r="D2" s="334"/>
      <c r="E2" s="334"/>
      <c r="F2" s="143"/>
      <c r="L2" s="1"/>
      <c r="M2" s="1"/>
      <c r="N2" s="1"/>
    </row>
    <row r="3" spans="1:16" ht="15.6" x14ac:dyDescent="0.3">
      <c r="C3" s="335" t="s">
        <v>238</v>
      </c>
      <c r="D3" s="335"/>
      <c r="E3" s="335"/>
      <c r="F3" s="72"/>
      <c r="L3" s="1"/>
      <c r="M3" s="1"/>
      <c r="N3" s="1"/>
      <c r="O3" s="1"/>
      <c r="P3" s="1"/>
    </row>
    <row r="4" spans="1:16" ht="15.6" x14ac:dyDescent="0.3">
      <c r="C4" s="144"/>
      <c r="D4" s="144"/>
      <c r="E4" s="144"/>
      <c r="F4" s="72"/>
      <c r="L4" s="1"/>
      <c r="M4" s="1"/>
      <c r="N4" s="1"/>
      <c r="O4" s="1"/>
      <c r="P4" s="1"/>
    </row>
    <row r="5" spans="1:16" ht="15.6" x14ac:dyDescent="0.3">
      <c r="A5" s="312" t="s">
        <v>240</v>
      </c>
      <c r="B5" s="312"/>
      <c r="C5" s="312"/>
      <c r="D5" s="312"/>
      <c r="E5" s="312"/>
      <c r="F5" s="73"/>
      <c r="L5" s="1"/>
      <c r="M5" s="1"/>
      <c r="N5" s="1"/>
      <c r="O5" s="1"/>
      <c r="P5" s="1"/>
    </row>
    <row r="6" spans="1:16" ht="15.6" x14ac:dyDescent="0.3">
      <c r="A6" s="329">
        <v>45631</v>
      </c>
      <c r="B6" s="329"/>
      <c r="C6" s="329"/>
      <c r="D6" s="329"/>
      <c r="E6" s="329"/>
      <c r="F6" s="115"/>
      <c r="L6" s="1"/>
      <c r="M6" s="1"/>
      <c r="N6" s="1"/>
      <c r="O6" s="1"/>
      <c r="P6" s="1"/>
    </row>
    <row r="7" spans="1:16" x14ac:dyDescent="0.3">
      <c r="L7" s="1"/>
      <c r="M7" s="1"/>
      <c r="N7" s="1"/>
      <c r="O7" s="1"/>
      <c r="P7" s="1"/>
    </row>
    <row r="8" spans="1:16" ht="17.399999999999999" x14ac:dyDescent="0.3">
      <c r="B8" s="316" t="s">
        <v>160</v>
      </c>
      <c r="C8" s="316"/>
      <c r="D8" s="316"/>
      <c r="E8" s="316"/>
      <c r="P8" s="1"/>
    </row>
    <row r="9" spans="1:16" s="72" customFormat="1" ht="15.6" x14ac:dyDescent="0.3">
      <c r="B9" s="345" t="s">
        <v>230</v>
      </c>
      <c r="C9" s="345"/>
      <c r="D9" s="345"/>
      <c r="E9" s="345"/>
      <c r="F9" s="345"/>
      <c r="G9" s="73"/>
    </row>
    <row r="10" spans="1:16" s="74" customFormat="1" ht="15.6" x14ac:dyDescent="0.3">
      <c r="B10" s="346" t="s">
        <v>247</v>
      </c>
      <c r="C10" s="346"/>
      <c r="D10" s="346"/>
      <c r="E10" s="346"/>
    </row>
    <row r="11" spans="1:16" ht="16.5" customHeight="1" x14ac:dyDescent="0.3"/>
    <row r="12" spans="1:16" ht="24" x14ac:dyDescent="0.3">
      <c r="A12" s="90" t="s">
        <v>140</v>
      </c>
      <c r="B12" s="257" t="s">
        <v>113</v>
      </c>
      <c r="C12" s="289" t="s">
        <v>159</v>
      </c>
      <c r="D12" s="257" t="s">
        <v>161</v>
      </c>
      <c r="E12" s="90" t="s">
        <v>162</v>
      </c>
      <c r="F12" s="90" t="s">
        <v>120</v>
      </c>
    </row>
    <row r="13" spans="1:16" x14ac:dyDescent="0.3">
      <c r="A13" s="91" t="s">
        <v>141</v>
      </c>
      <c r="B13" s="257"/>
      <c r="C13" s="350"/>
      <c r="D13" s="257"/>
      <c r="E13" s="91" t="s">
        <v>142</v>
      </c>
      <c r="F13" s="91" t="s">
        <v>153</v>
      </c>
    </row>
    <row r="14" spans="1:16" x14ac:dyDescent="0.3">
      <c r="A14" s="91">
        <v>1</v>
      </c>
      <c r="B14" s="91">
        <v>2</v>
      </c>
      <c r="C14" s="91">
        <v>3</v>
      </c>
      <c r="D14" s="91">
        <v>4</v>
      </c>
      <c r="E14" s="91">
        <v>5</v>
      </c>
      <c r="F14" s="89">
        <v>6</v>
      </c>
    </row>
    <row r="15" spans="1:16" x14ac:dyDescent="0.3">
      <c r="A15" s="91"/>
      <c r="B15" s="342" t="s">
        <v>232</v>
      </c>
      <c r="C15" s="343"/>
      <c r="D15" s="343"/>
      <c r="E15" s="344"/>
      <c r="F15" s="114">
        <f>F21</f>
        <v>1354364.21</v>
      </c>
    </row>
    <row r="16" spans="1:16" ht="24" x14ac:dyDescent="0.3">
      <c r="A16" s="89">
        <v>1</v>
      </c>
      <c r="B16" s="7" t="s">
        <v>248</v>
      </c>
      <c r="C16" s="89" t="s">
        <v>249</v>
      </c>
      <c r="D16" s="89">
        <v>18</v>
      </c>
      <c r="E16" s="76">
        <f t="shared" ref="E16:E19" si="0">F16/D16</f>
        <v>23472.222222222223</v>
      </c>
      <c r="F16" s="8">
        <v>422500</v>
      </c>
    </row>
    <row r="17" spans="1:8" ht="24" x14ac:dyDescent="0.3">
      <c r="A17" s="89">
        <v>2</v>
      </c>
      <c r="B17" s="7" t="s">
        <v>250</v>
      </c>
      <c r="C17" s="89" t="s">
        <v>249</v>
      </c>
      <c r="D17" s="89">
        <v>23</v>
      </c>
      <c r="E17" s="76">
        <f t="shared" si="0"/>
        <v>22934.782608695652</v>
      </c>
      <c r="F17" s="8">
        <v>527500</v>
      </c>
    </row>
    <row r="18" spans="1:8" ht="24" x14ac:dyDescent="0.3">
      <c r="A18" s="89">
        <v>3</v>
      </c>
      <c r="B18" s="7" t="s">
        <v>251</v>
      </c>
      <c r="C18" s="89" t="s">
        <v>249</v>
      </c>
      <c r="D18" s="89">
        <v>12</v>
      </c>
      <c r="E18" s="76">
        <f t="shared" si="0"/>
        <v>24335.350833333334</v>
      </c>
      <c r="F18" s="8">
        <v>292024.21000000002</v>
      </c>
    </row>
    <row r="19" spans="1:8" x14ac:dyDescent="0.3">
      <c r="A19" s="89">
        <v>4</v>
      </c>
      <c r="B19" s="7" t="s">
        <v>252</v>
      </c>
      <c r="C19" s="89" t="s">
        <v>249</v>
      </c>
      <c r="D19" s="89">
        <v>5</v>
      </c>
      <c r="E19" s="76">
        <f t="shared" si="0"/>
        <v>22468</v>
      </c>
      <c r="F19" s="8">
        <v>112340</v>
      </c>
    </row>
    <row r="20" spans="1:8" hidden="1" x14ac:dyDescent="0.3">
      <c r="A20" s="89"/>
      <c r="B20" s="7"/>
      <c r="C20" s="89"/>
      <c r="D20" s="89"/>
      <c r="E20" s="76"/>
      <c r="F20" s="8"/>
    </row>
    <row r="21" spans="1:8" s="120" customFormat="1" hidden="1" x14ac:dyDescent="0.3">
      <c r="A21" s="118"/>
      <c r="B21" s="118" t="s">
        <v>112</v>
      </c>
      <c r="C21" s="119"/>
      <c r="D21" s="119">
        <f>SUM(D16:D19)</f>
        <v>58</v>
      </c>
      <c r="E21" s="112">
        <f>SUM(E16:E19)</f>
        <v>93210.355664251212</v>
      </c>
      <c r="F21" s="112">
        <f>SUM(F16:F20)</f>
        <v>1354364.21</v>
      </c>
    </row>
    <row r="22" spans="1:8" x14ac:dyDescent="0.3">
      <c r="A22" s="91"/>
      <c r="B22" s="342" t="s">
        <v>233</v>
      </c>
      <c r="C22" s="343"/>
      <c r="D22" s="343"/>
      <c r="E22" s="344"/>
      <c r="F22" s="114">
        <f>SUM(F23:F26)</f>
        <v>1412722.75</v>
      </c>
      <c r="H22" s="77"/>
    </row>
    <row r="23" spans="1:8" ht="24" x14ac:dyDescent="0.3">
      <c r="A23" s="89">
        <v>1</v>
      </c>
      <c r="B23" s="7" t="s">
        <v>248</v>
      </c>
      <c r="C23" s="89" t="s">
        <v>249</v>
      </c>
      <c r="D23" s="89">
        <v>16</v>
      </c>
      <c r="E23" s="76">
        <f t="shared" ref="E23:E26" si="1">F23/D23</f>
        <v>23125</v>
      </c>
      <c r="F23" s="8">
        <v>370000</v>
      </c>
      <c r="H23" s="77"/>
    </row>
    <row r="24" spans="1:8" ht="24" x14ac:dyDescent="0.3">
      <c r="A24" s="89">
        <v>2</v>
      </c>
      <c r="B24" s="7" t="s">
        <v>250</v>
      </c>
      <c r="C24" s="89" t="s">
        <v>249</v>
      </c>
      <c r="D24" s="89">
        <v>23</v>
      </c>
      <c r="E24" s="76">
        <f t="shared" si="1"/>
        <v>23478.260869565216</v>
      </c>
      <c r="F24" s="8">
        <v>540000</v>
      </c>
      <c r="H24" s="77"/>
    </row>
    <row r="25" spans="1:8" ht="24" x14ac:dyDescent="0.3">
      <c r="A25" s="89">
        <v>3</v>
      </c>
      <c r="B25" s="7" t="s">
        <v>251</v>
      </c>
      <c r="C25" s="89" t="s">
        <v>249</v>
      </c>
      <c r="D25" s="89">
        <v>15</v>
      </c>
      <c r="E25" s="76">
        <f t="shared" si="1"/>
        <v>25842.85</v>
      </c>
      <c r="F25" s="8">
        <v>387642.75</v>
      </c>
      <c r="H25" s="77"/>
    </row>
    <row r="26" spans="1:8" x14ac:dyDescent="0.3">
      <c r="A26" s="89">
        <v>4</v>
      </c>
      <c r="B26" s="7" t="s">
        <v>252</v>
      </c>
      <c r="C26" s="89" t="s">
        <v>249</v>
      </c>
      <c r="D26" s="89">
        <v>5</v>
      </c>
      <c r="E26" s="76">
        <f t="shared" si="1"/>
        <v>23016</v>
      </c>
      <c r="F26" s="8">
        <v>115080</v>
      </c>
      <c r="H26" s="77"/>
    </row>
    <row r="27" spans="1:8" x14ac:dyDescent="0.3">
      <c r="A27" s="7"/>
      <c r="B27" s="342" t="s">
        <v>234</v>
      </c>
      <c r="C27" s="343"/>
      <c r="D27" s="343"/>
      <c r="E27" s="344"/>
      <c r="F27" s="112">
        <f>F22-F15</f>
        <v>58358.540000000037</v>
      </c>
    </row>
    <row r="29" spans="1:8" ht="15.6" x14ac:dyDescent="0.3">
      <c r="A29" s="121" t="s">
        <v>253</v>
      </c>
      <c r="B29" s="358"/>
      <c r="C29" s="358"/>
      <c r="D29" s="358"/>
      <c r="E29" s="358"/>
      <c r="F29" s="358"/>
    </row>
    <row r="30" spans="1:8" ht="15.75" customHeight="1" x14ac:dyDescent="0.3">
      <c r="A30" s="121"/>
      <c r="B30" s="357" t="s">
        <v>254</v>
      </c>
      <c r="C30" s="357"/>
      <c r="D30" s="357"/>
      <c r="E30" s="357"/>
      <c r="F30" s="357"/>
    </row>
    <row r="31" spans="1:8" ht="15.6" x14ac:dyDescent="0.3">
      <c r="A31" s="121"/>
      <c r="B31" s="357"/>
      <c r="C31" s="357"/>
      <c r="D31" s="357"/>
      <c r="E31" s="357"/>
      <c r="F31" s="357"/>
    </row>
    <row r="32" spans="1:8" ht="48" x14ac:dyDescent="0.3">
      <c r="A32" s="336"/>
      <c r="B32" s="336"/>
      <c r="C32" s="7" t="s">
        <v>248</v>
      </c>
      <c r="D32" s="7" t="s">
        <v>250</v>
      </c>
      <c r="E32" s="7" t="s">
        <v>251</v>
      </c>
      <c r="F32" s="7" t="s">
        <v>252</v>
      </c>
      <c r="G32" s="89" t="s">
        <v>255</v>
      </c>
    </row>
    <row r="33" spans="1:7" x14ac:dyDescent="0.3">
      <c r="A33" s="354" t="s">
        <v>256</v>
      </c>
      <c r="B33" s="354"/>
      <c r="C33" s="89">
        <f>D16</f>
        <v>18</v>
      </c>
      <c r="D33" s="89">
        <f>D17</f>
        <v>23</v>
      </c>
      <c r="E33" s="89">
        <f>D18</f>
        <v>12</v>
      </c>
      <c r="F33" s="89">
        <f>D19</f>
        <v>5</v>
      </c>
      <c r="G33" s="19">
        <f>SUM(C33:F33)</f>
        <v>58</v>
      </c>
    </row>
    <row r="34" spans="1:7" x14ac:dyDescent="0.3">
      <c r="A34" s="354" t="s">
        <v>257</v>
      </c>
      <c r="B34" s="354"/>
      <c r="C34" s="8">
        <v>25000</v>
      </c>
      <c r="D34" s="8">
        <v>25000</v>
      </c>
      <c r="E34" s="8">
        <v>25842.85</v>
      </c>
      <c r="F34" s="8">
        <v>27400</v>
      </c>
      <c r="G34" s="76">
        <f>SUM(C34:F34)</f>
        <v>103242.85</v>
      </c>
    </row>
    <row r="35" spans="1:7" x14ac:dyDescent="0.3">
      <c r="A35" s="342" t="s">
        <v>232</v>
      </c>
      <c r="B35" s="343"/>
      <c r="C35" s="343"/>
      <c r="D35" s="343"/>
      <c r="E35" s="343"/>
      <c r="F35" s="343"/>
      <c r="G35" s="344"/>
    </row>
    <row r="36" spans="1:7" x14ac:dyDescent="0.3">
      <c r="A36" s="347" t="s">
        <v>258</v>
      </c>
      <c r="B36" s="347"/>
      <c r="C36" s="112">
        <v>450000</v>
      </c>
      <c r="D36" s="112">
        <v>575000</v>
      </c>
      <c r="E36" s="112">
        <v>310114.2</v>
      </c>
      <c r="F36" s="112">
        <v>137000</v>
      </c>
      <c r="G36" s="76">
        <f>SUM(C36:F36)</f>
        <v>1472114.2</v>
      </c>
    </row>
    <row r="37" spans="1:7" x14ac:dyDescent="0.3">
      <c r="A37" s="354" t="s">
        <v>259</v>
      </c>
      <c r="B37" s="354"/>
      <c r="C37" s="353">
        <v>422500</v>
      </c>
      <c r="D37" s="353">
        <v>527500</v>
      </c>
      <c r="E37" s="353">
        <v>292024.21000000002</v>
      </c>
      <c r="F37" s="353">
        <v>112340</v>
      </c>
      <c r="G37" s="355">
        <f>SUM(C37:F38)</f>
        <v>1354364.21</v>
      </c>
    </row>
    <row r="38" spans="1:7" x14ac:dyDescent="0.3">
      <c r="A38" s="347" t="s">
        <v>260</v>
      </c>
      <c r="B38" s="347"/>
      <c r="C38" s="353"/>
      <c r="D38" s="353"/>
      <c r="E38" s="353"/>
      <c r="F38" s="353"/>
      <c r="G38" s="356"/>
    </row>
    <row r="39" spans="1:7" ht="24" x14ac:dyDescent="0.3">
      <c r="A39" s="354" t="s">
        <v>261</v>
      </c>
      <c r="B39" s="354"/>
      <c r="C39" s="89" t="s">
        <v>262</v>
      </c>
      <c r="D39" s="89" t="s">
        <v>263</v>
      </c>
      <c r="E39" s="89" t="s">
        <v>264</v>
      </c>
      <c r="F39" s="89" t="s">
        <v>265</v>
      </c>
      <c r="G39" s="76">
        <f>7500+12500+7752.86+2740</f>
        <v>30492.86</v>
      </c>
    </row>
    <row r="40" spans="1:7" ht="24" x14ac:dyDescent="0.3">
      <c r="A40" s="354" t="s">
        <v>266</v>
      </c>
      <c r="B40" s="354"/>
      <c r="C40" s="89" t="s">
        <v>267</v>
      </c>
      <c r="D40" s="89" t="s">
        <v>268</v>
      </c>
      <c r="E40" s="89" t="s">
        <v>269</v>
      </c>
      <c r="F40" s="89" t="s">
        <v>270</v>
      </c>
      <c r="G40" s="76">
        <f>21920+10337.14+35000+20000</f>
        <v>87257.14</v>
      </c>
    </row>
    <row r="41" spans="1:7" x14ac:dyDescent="0.3">
      <c r="A41" s="347" t="s">
        <v>271</v>
      </c>
      <c r="B41" s="347"/>
      <c r="C41" s="112">
        <f>7500+20000</f>
        <v>27500</v>
      </c>
      <c r="D41" s="112">
        <f>12500+35000</f>
        <v>47500</v>
      </c>
      <c r="E41" s="112">
        <f>7752.86+10337.14</f>
        <v>18090</v>
      </c>
      <c r="F41" s="112">
        <f>2740+21920</f>
        <v>24660</v>
      </c>
      <c r="G41" s="122">
        <f>SUM(C41:F41)</f>
        <v>117750</v>
      </c>
    </row>
    <row r="42" spans="1:7" ht="15" customHeight="1" x14ac:dyDescent="0.3">
      <c r="A42" s="342" t="s">
        <v>233</v>
      </c>
      <c r="B42" s="343"/>
      <c r="C42" s="343"/>
      <c r="D42" s="343"/>
      <c r="E42" s="343"/>
      <c r="F42" s="343"/>
      <c r="G42" s="344"/>
    </row>
    <row r="43" spans="1:7" x14ac:dyDescent="0.3">
      <c r="A43" s="347" t="s">
        <v>258</v>
      </c>
      <c r="B43" s="347"/>
      <c r="C43" s="112">
        <v>400000</v>
      </c>
      <c r="D43" s="112">
        <v>575000</v>
      </c>
      <c r="E43" s="112">
        <v>387642.75</v>
      </c>
      <c r="F43" s="112">
        <v>137000</v>
      </c>
      <c r="G43" s="76">
        <f>SUM(C43:F43)</f>
        <v>1499642.75</v>
      </c>
    </row>
    <row r="44" spans="1:7" x14ac:dyDescent="0.3">
      <c r="A44" s="354" t="s">
        <v>259</v>
      </c>
      <c r="B44" s="354"/>
      <c r="C44" s="353">
        <f>F23</f>
        <v>370000</v>
      </c>
      <c r="D44" s="353">
        <f>F24</f>
        <v>540000</v>
      </c>
      <c r="E44" s="353">
        <f>F25</f>
        <v>387642.75</v>
      </c>
      <c r="F44" s="353">
        <f>F26</f>
        <v>115080</v>
      </c>
      <c r="G44" s="355">
        <f>SUM(C44:F45)</f>
        <v>1412722.75</v>
      </c>
    </row>
    <row r="45" spans="1:7" x14ac:dyDescent="0.3">
      <c r="A45" s="347" t="s">
        <v>260</v>
      </c>
      <c r="B45" s="347"/>
      <c r="C45" s="353"/>
      <c r="D45" s="353"/>
      <c r="E45" s="353"/>
      <c r="F45" s="353"/>
      <c r="G45" s="356"/>
    </row>
    <row r="46" spans="1:7" ht="24" x14ac:dyDescent="0.3">
      <c r="A46" s="354" t="s">
        <v>261</v>
      </c>
      <c r="B46" s="354"/>
      <c r="C46" s="89" t="s">
        <v>272</v>
      </c>
      <c r="D46" s="89" t="s">
        <v>273</v>
      </c>
      <c r="E46" s="89" t="s">
        <v>274</v>
      </c>
      <c r="F46" s="89" t="s">
        <v>275</v>
      </c>
      <c r="G46" s="76">
        <f>10000+10000+5480</f>
        <v>25480</v>
      </c>
    </row>
    <row r="47" spans="1:7" ht="24" x14ac:dyDescent="0.3">
      <c r="A47" s="354" t="s">
        <v>266</v>
      </c>
      <c r="B47" s="354"/>
      <c r="C47" s="89" t="s">
        <v>267</v>
      </c>
      <c r="D47" s="89" t="s">
        <v>276</v>
      </c>
      <c r="E47" s="89" t="s">
        <v>277</v>
      </c>
      <c r="F47" s="89" t="s">
        <v>278</v>
      </c>
      <c r="G47" s="76">
        <f>20000+25000+0+16440</f>
        <v>61440</v>
      </c>
    </row>
    <row r="48" spans="1:7" x14ac:dyDescent="0.3">
      <c r="A48" s="347" t="s">
        <v>271</v>
      </c>
      <c r="B48" s="347"/>
      <c r="C48" s="112">
        <v>30000</v>
      </c>
      <c r="D48" s="112">
        <v>35000</v>
      </c>
      <c r="E48" s="112">
        <v>0</v>
      </c>
      <c r="F48" s="112">
        <v>21920</v>
      </c>
      <c r="G48" s="122">
        <f>SUM(C48:F48)</f>
        <v>86920</v>
      </c>
    </row>
    <row r="49" spans="1:1" ht="15.6" x14ac:dyDescent="0.3">
      <c r="A49" s="123"/>
    </row>
  </sheetData>
  <mergeCells count="44">
    <mergeCell ref="C1:E1"/>
    <mergeCell ref="C2:E2"/>
    <mergeCell ref="C3:E3"/>
    <mergeCell ref="B29:F29"/>
    <mergeCell ref="B30:F30"/>
    <mergeCell ref="B27:E27"/>
    <mergeCell ref="A5:E5"/>
    <mergeCell ref="A6:E6"/>
    <mergeCell ref="B22:E22"/>
    <mergeCell ref="B8:E8"/>
    <mergeCell ref="B10:E10"/>
    <mergeCell ref="B12:B13"/>
    <mergeCell ref="C12:C13"/>
    <mergeCell ref="D12:D13"/>
    <mergeCell ref="B15:E15"/>
    <mergeCell ref="B9:F9"/>
    <mergeCell ref="B31:F31"/>
    <mergeCell ref="A32:B32"/>
    <mergeCell ref="A33:B33"/>
    <mergeCell ref="A44:B44"/>
    <mergeCell ref="C44:C45"/>
    <mergeCell ref="D44:D45"/>
    <mergeCell ref="E44:E45"/>
    <mergeCell ref="F44:F45"/>
    <mergeCell ref="F37:F38"/>
    <mergeCell ref="A34:B34"/>
    <mergeCell ref="A35:G35"/>
    <mergeCell ref="A36:B36"/>
    <mergeCell ref="G37:G38"/>
    <mergeCell ref="A38:B38"/>
    <mergeCell ref="A42:G42"/>
    <mergeCell ref="A43:B43"/>
    <mergeCell ref="A48:B48"/>
    <mergeCell ref="G44:G45"/>
    <mergeCell ref="A45:B45"/>
    <mergeCell ref="A46:B46"/>
    <mergeCell ref="A47:B47"/>
    <mergeCell ref="D37:D38"/>
    <mergeCell ref="E37:E38"/>
    <mergeCell ref="A39:B39"/>
    <mergeCell ref="A40:B40"/>
    <mergeCell ref="A41:B41"/>
    <mergeCell ref="A37:B37"/>
    <mergeCell ref="C37:C3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7030A0"/>
    <pageSetUpPr fitToPage="1"/>
  </sheetPr>
  <dimension ref="A1:P35"/>
  <sheetViews>
    <sheetView topLeftCell="A5" workbookViewId="0">
      <selection activeCell="O37" sqref="O37"/>
    </sheetView>
  </sheetViews>
  <sheetFormatPr defaultRowHeight="14.4" x14ac:dyDescent="0.3"/>
  <cols>
    <col min="2" max="2" width="25.88671875" customWidth="1"/>
    <col min="3" max="3" width="12.33203125" customWidth="1"/>
    <col min="4" max="4" width="19.109375" customWidth="1"/>
    <col min="5" max="5" width="17.6640625" customWidth="1"/>
    <col min="6" max="6" width="17" customWidth="1"/>
    <col min="8" max="8" width="11.5546875" bestFit="1" customWidth="1"/>
  </cols>
  <sheetData>
    <row r="1" spans="1:16" hidden="1" x14ac:dyDescent="0.3">
      <c r="B1" s="1"/>
      <c r="D1" s="314" t="s">
        <v>182</v>
      </c>
      <c r="E1" s="314"/>
      <c r="F1" s="314"/>
    </row>
    <row r="2" spans="1:16" ht="48" hidden="1" customHeight="1" x14ac:dyDescent="0.3">
      <c r="B2" s="1"/>
      <c r="D2" s="334" t="s">
        <v>239</v>
      </c>
      <c r="E2" s="334"/>
      <c r="F2" s="334"/>
    </row>
    <row r="3" spans="1:16" ht="15.6" hidden="1" x14ac:dyDescent="0.3">
      <c r="B3" s="1"/>
      <c r="D3" s="335" t="s">
        <v>238</v>
      </c>
      <c r="E3" s="335"/>
      <c r="F3" s="335"/>
    </row>
    <row r="4" spans="1:16" ht="15.6" hidden="1" x14ac:dyDescent="0.3">
      <c r="B4" s="1"/>
      <c r="D4" s="1"/>
      <c r="E4" s="1"/>
      <c r="G4" s="72"/>
      <c r="H4" s="72"/>
    </row>
    <row r="5" spans="1:16" x14ac:dyDescent="0.3">
      <c r="L5" s="1"/>
      <c r="M5" s="1"/>
      <c r="N5" s="1"/>
      <c r="O5" s="1"/>
      <c r="P5" s="1"/>
    </row>
    <row r="6" spans="1:16" ht="15.6" x14ac:dyDescent="0.3">
      <c r="A6" s="312"/>
      <c r="B6" s="312"/>
      <c r="C6" s="312"/>
      <c r="D6" s="312"/>
      <c r="E6" s="312"/>
      <c r="F6" s="312"/>
      <c r="G6" s="72"/>
      <c r="H6" s="72"/>
    </row>
    <row r="7" spans="1:16" ht="15.6" x14ac:dyDescent="0.3">
      <c r="A7" s="329">
        <v>45625</v>
      </c>
      <c r="B7" s="329"/>
      <c r="C7" s="329"/>
      <c r="D7" s="329"/>
      <c r="E7" s="329"/>
      <c r="F7" s="329"/>
      <c r="G7" s="117"/>
      <c r="H7" s="117"/>
    </row>
    <row r="8" spans="1:16" x14ac:dyDescent="0.3">
      <c r="L8" s="1"/>
      <c r="M8" s="1"/>
      <c r="N8" s="1"/>
      <c r="O8" s="1"/>
      <c r="P8" s="1"/>
    </row>
    <row r="9" spans="1:16" ht="17.399999999999999" x14ac:dyDescent="0.3">
      <c r="B9" s="316" t="s">
        <v>160</v>
      </c>
      <c r="C9" s="316"/>
      <c r="D9" s="316"/>
      <c r="E9" s="316"/>
      <c r="P9" s="1"/>
    </row>
    <row r="10" spans="1:16" s="72" customFormat="1" ht="15.6" x14ac:dyDescent="0.3">
      <c r="B10" s="345" t="s">
        <v>230</v>
      </c>
      <c r="C10" s="345"/>
      <c r="D10" s="345"/>
      <c r="E10" s="345"/>
      <c r="F10" s="345"/>
      <c r="G10" s="73"/>
    </row>
    <row r="11" spans="1:16" s="74" customFormat="1" ht="15.6" x14ac:dyDescent="0.3">
      <c r="B11" s="346" t="s">
        <v>279</v>
      </c>
      <c r="C11" s="346"/>
      <c r="D11" s="346"/>
      <c r="E11" s="346"/>
    </row>
    <row r="12" spans="1:16" ht="16.5" customHeight="1" x14ac:dyDescent="0.3"/>
    <row r="13" spans="1:16" ht="24" x14ac:dyDescent="0.3">
      <c r="A13" s="90" t="s">
        <v>140</v>
      </c>
      <c r="B13" s="257" t="s">
        <v>113</v>
      </c>
      <c r="C13" s="289" t="s">
        <v>159</v>
      </c>
      <c r="D13" s="257" t="s">
        <v>161</v>
      </c>
      <c r="E13" s="90" t="s">
        <v>162</v>
      </c>
      <c r="F13" s="90" t="s">
        <v>120</v>
      </c>
    </row>
    <row r="14" spans="1:16" x14ac:dyDescent="0.3">
      <c r="A14" s="91" t="s">
        <v>141</v>
      </c>
      <c r="B14" s="257"/>
      <c r="C14" s="350"/>
      <c r="D14" s="257"/>
      <c r="E14" s="91" t="s">
        <v>142</v>
      </c>
      <c r="F14" s="91" t="s">
        <v>153</v>
      </c>
    </row>
    <row r="15" spans="1:16" x14ac:dyDescent="0.3">
      <c r="A15" s="91">
        <v>1</v>
      </c>
      <c r="B15" s="91">
        <v>2</v>
      </c>
      <c r="C15" s="91">
        <v>3</v>
      </c>
      <c r="D15" s="91">
        <v>4</v>
      </c>
      <c r="E15" s="91">
        <v>5</v>
      </c>
      <c r="F15" s="89">
        <v>6</v>
      </c>
    </row>
    <row r="16" spans="1:16" ht="19.5" customHeight="1" x14ac:dyDescent="0.3">
      <c r="A16" s="91"/>
      <c r="B16" s="342" t="s">
        <v>232</v>
      </c>
      <c r="C16" s="343"/>
      <c r="D16" s="343"/>
      <c r="E16" s="344"/>
      <c r="F16" s="114">
        <f>F24</f>
        <v>192239.97</v>
      </c>
    </row>
    <row r="17" spans="1:8" ht="19.5" customHeight="1" x14ac:dyDescent="0.3">
      <c r="A17" s="89">
        <v>1</v>
      </c>
      <c r="B17" s="7" t="s">
        <v>281</v>
      </c>
      <c r="C17" s="124">
        <v>0.2</v>
      </c>
      <c r="D17" s="125">
        <v>49</v>
      </c>
      <c r="E17" s="76">
        <f t="shared" ref="E17:E18" si="0">F17/D17</f>
        <v>972</v>
      </c>
      <c r="F17" s="8">
        <v>47628</v>
      </c>
    </row>
    <row r="18" spans="1:8" ht="19.5" customHeight="1" x14ac:dyDescent="0.3">
      <c r="A18" s="89">
        <v>2</v>
      </c>
      <c r="B18" s="7" t="s">
        <v>281</v>
      </c>
      <c r="C18" s="124">
        <v>0.1</v>
      </c>
      <c r="D18" s="125">
        <v>37</v>
      </c>
      <c r="E18" s="76">
        <f t="shared" si="0"/>
        <v>486</v>
      </c>
      <c r="F18" s="8">
        <v>17982</v>
      </c>
    </row>
    <row r="19" spans="1:8" ht="19.5" customHeight="1" x14ac:dyDescent="0.3">
      <c r="A19" s="89">
        <v>3</v>
      </c>
      <c r="B19" s="7" t="s">
        <v>282</v>
      </c>
      <c r="C19" s="124">
        <v>0.2</v>
      </c>
      <c r="D19" s="89">
        <v>6</v>
      </c>
      <c r="E19" s="76">
        <f t="shared" ref="E19:E22" si="1">F19/D19</f>
        <v>5168.57</v>
      </c>
      <c r="F19" s="8">
        <v>31011.42</v>
      </c>
    </row>
    <row r="20" spans="1:8" ht="19.5" customHeight="1" x14ac:dyDescent="0.3">
      <c r="A20" s="89">
        <v>4</v>
      </c>
      <c r="B20" s="7" t="s">
        <v>282</v>
      </c>
      <c r="C20" s="124">
        <v>0.1</v>
      </c>
      <c r="D20" s="89">
        <v>6</v>
      </c>
      <c r="E20" s="76">
        <f t="shared" si="1"/>
        <v>2584.2849999999999</v>
      </c>
      <c r="F20" s="8">
        <v>15505.71</v>
      </c>
    </row>
    <row r="21" spans="1:8" ht="19.5" customHeight="1" x14ac:dyDescent="0.3">
      <c r="A21" s="89">
        <v>5</v>
      </c>
      <c r="B21" s="7" t="s">
        <v>283</v>
      </c>
      <c r="C21" s="124">
        <v>0.2</v>
      </c>
      <c r="D21" s="89">
        <v>13</v>
      </c>
      <c r="E21" s="76">
        <f t="shared" si="1"/>
        <v>5168.5700000000006</v>
      </c>
      <c r="F21" s="8">
        <v>67191.41</v>
      </c>
    </row>
    <row r="22" spans="1:8" ht="19.5" customHeight="1" x14ac:dyDescent="0.3">
      <c r="A22" s="89">
        <v>6</v>
      </c>
      <c r="B22" s="7" t="s">
        <v>283</v>
      </c>
      <c r="C22" s="124">
        <v>0.1</v>
      </c>
      <c r="D22" s="89">
        <v>5</v>
      </c>
      <c r="E22" s="76">
        <f t="shared" si="1"/>
        <v>2584.2860000000001</v>
      </c>
      <c r="F22" s="8">
        <v>12921.43</v>
      </c>
    </row>
    <row r="23" spans="1:8" ht="19.5" hidden="1" customHeight="1" x14ac:dyDescent="0.3">
      <c r="A23" s="89"/>
      <c r="B23" s="7"/>
      <c r="C23" s="89"/>
      <c r="D23" s="89"/>
      <c r="E23" s="76"/>
      <c r="F23" s="8"/>
    </row>
    <row r="24" spans="1:8" s="120" customFormat="1" ht="19.5" customHeight="1" x14ac:dyDescent="0.3">
      <c r="A24" s="118"/>
      <c r="B24" s="118" t="s">
        <v>112</v>
      </c>
      <c r="C24" s="119"/>
      <c r="D24" s="119">
        <f>SUM(D17:D22)</f>
        <v>116</v>
      </c>
      <c r="E24" s="112">
        <f>SUM(E17:E22)</f>
        <v>16963.710999999999</v>
      </c>
      <c r="F24" s="112">
        <f>SUM(F17:F23)</f>
        <v>192239.97</v>
      </c>
    </row>
    <row r="25" spans="1:8" ht="19.5" customHeight="1" x14ac:dyDescent="0.3">
      <c r="A25" s="91"/>
      <c r="B25" s="342" t="s">
        <v>233</v>
      </c>
      <c r="C25" s="343"/>
      <c r="D25" s="343"/>
      <c r="E25" s="344"/>
      <c r="F25" s="114">
        <f>SUM(F26:F34)</f>
        <v>192240.02000000002</v>
      </c>
      <c r="H25" s="77"/>
    </row>
    <row r="26" spans="1:8" ht="19.5" customHeight="1" x14ac:dyDescent="0.3">
      <c r="A26" s="89">
        <v>1</v>
      </c>
      <c r="B26" s="7" t="s">
        <v>281</v>
      </c>
      <c r="C26" s="124">
        <v>0.2</v>
      </c>
      <c r="D26" s="125">
        <v>49</v>
      </c>
      <c r="E26" s="76">
        <f t="shared" ref="E26:E31" si="2">F26/D26</f>
        <v>972</v>
      </c>
      <c r="F26" s="8">
        <v>47628</v>
      </c>
      <c r="H26" s="77"/>
    </row>
    <row r="27" spans="1:8" ht="19.5" customHeight="1" x14ac:dyDescent="0.3">
      <c r="A27" s="89">
        <v>2</v>
      </c>
      <c r="B27" s="7" t="s">
        <v>281</v>
      </c>
      <c r="C27" s="124">
        <v>0.1</v>
      </c>
      <c r="D27" s="125">
        <v>37</v>
      </c>
      <c r="E27" s="76">
        <f t="shared" si="2"/>
        <v>486</v>
      </c>
      <c r="F27" s="8">
        <v>17982</v>
      </c>
      <c r="H27" s="77"/>
    </row>
    <row r="28" spans="1:8" ht="19.5" customHeight="1" x14ac:dyDescent="0.3">
      <c r="A28" s="89">
        <v>3</v>
      </c>
      <c r="B28" s="7" t="s">
        <v>282</v>
      </c>
      <c r="C28" s="124">
        <v>0.2</v>
      </c>
      <c r="D28" s="125">
        <v>6</v>
      </c>
      <c r="E28" s="76">
        <f t="shared" si="2"/>
        <v>5168.57</v>
      </c>
      <c r="F28" s="8">
        <v>31011.42</v>
      </c>
      <c r="H28" s="77"/>
    </row>
    <row r="29" spans="1:8" ht="19.5" customHeight="1" x14ac:dyDescent="0.3">
      <c r="A29" s="89">
        <v>4</v>
      </c>
      <c r="B29" s="7" t="s">
        <v>282</v>
      </c>
      <c r="C29" s="124">
        <v>0.1</v>
      </c>
      <c r="D29" s="125">
        <v>6</v>
      </c>
      <c r="E29" s="76">
        <f t="shared" si="2"/>
        <v>2584.29</v>
      </c>
      <c r="F29" s="8">
        <v>15505.74</v>
      </c>
      <c r="H29" s="77"/>
    </row>
    <row r="30" spans="1:8" ht="19.5" customHeight="1" x14ac:dyDescent="0.3">
      <c r="A30" s="89">
        <v>5</v>
      </c>
      <c r="B30" s="7" t="s">
        <v>283</v>
      </c>
      <c r="C30" s="124">
        <v>0.2</v>
      </c>
      <c r="D30" s="125">
        <v>13</v>
      </c>
      <c r="E30" s="76">
        <f t="shared" si="2"/>
        <v>5168.5700000000006</v>
      </c>
      <c r="F30" s="8">
        <v>67191.41</v>
      </c>
      <c r="H30" s="77"/>
    </row>
    <row r="31" spans="1:8" ht="19.5" customHeight="1" x14ac:dyDescent="0.3">
      <c r="A31" s="89">
        <v>6</v>
      </c>
      <c r="B31" s="7" t="s">
        <v>283</v>
      </c>
      <c r="C31" s="124">
        <v>0.1</v>
      </c>
      <c r="D31" s="125">
        <v>5</v>
      </c>
      <c r="E31" s="76">
        <f t="shared" si="2"/>
        <v>2584.29</v>
      </c>
      <c r="F31" s="8">
        <v>12921.45</v>
      </c>
      <c r="H31" s="77"/>
    </row>
    <row r="32" spans="1:8" ht="19.5" hidden="1" customHeight="1" x14ac:dyDescent="0.3">
      <c r="A32" s="89"/>
      <c r="B32" s="7"/>
      <c r="C32" s="89"/>
      <c r="D32" s="89"/>
      <c r="E32" s="76"/>
      <c r="F32" s="8"/>
      <c r="H32" s="77"/>
    </row>
    <row r="33" spans="1:8" ht="19.5" hidden="1" customHeight="1" x14ac:dyDescent="0.3">
      <c r="A33" s="89"/>
      <c r="B33" s="7"/>
      <c r="C33" s="89"/>
      <c r="D33" s="89"/>
      <c r="E33" s="76"/>
      <c r="F33" s="8"/>
      <c r="H33" s="77"/>
    </row>
    <row r="34" spans="1:8" ht="19.5" hidden="1" customHeight="1" x14ac:dyDescent="0.3">
      <c r="A34" s="89"/>
      <c r="B34" s="7"/>
      <c r="C34" s="89"/>
      <c r="D34" s="89"/>
      <c r="E34" s="76"/>
      <c r="F34" s="8"/>
      <c r="H34" s="77"/>
    </row>
    <row r="35" spans="1:8" ht="19.5" customHeight="1" x14ac:dyDescent="0.3">
      <c r="A35" s="7"/>
      <c r="B35" s="342" t="s">
        <v>234</v>
      </c>
      <c r="C35" s="343"/>
      <c r="D35" s="343"/>
      <c r="E35" s="344"/>
      <c r="F35" s="112">
        <f>F25-F16</f>
        <v>5.0000000017462298E-2</v>
      </c>
    </row>
  </sheetData>
  <mergeCells count="14">
    <mergeCell ref="D1:F1"/>
    <mergeCell ref="D2:F2"/>
    <mergeCell ref="A6:F6"/>
    <mergeCell ref="A7:F7"/>
    <mergeCell ref="B9:E9"/>
    <mergeCell ref="B35:E35"/>
    <mergeCell ref="D3:F3"/>
    <mergeCell ref="B10:F10"/>
    <mergeCell ref="B11:E11"/>
    <mergeCell ref="B13:B14"/>
    <mergeCell ref="C13:C14"/>
    <mergeCell ref="D13:D14"/>
    <mergeCell ref="B16:E16"/>
    <mergeCell ref="B25:E25"/>
  </mergeCells>
  <pageMargins left="0.39370078740157483" right="0.39370078740157483" top="0.39370078740157483" bottom="0.39370078740157483" header="0" footer="0"/>
  <pageSetup paperSize="9" scale="9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21"/>
  <sheetViews>
    <sheetView workbookViewId="0">
      <selection activeCell="F27" sqref="F27"/>
    </sheetView>
  </sheetViews>
  <sheetFormatPr defaultRowHeight="14.4" x14ac:dyDescent="0.3"/>
  <cols>
    <col min="2" max="2" width="25.88671875" customWidth="1"/>
    <col min="3" max="3" width="23" customWidth="1"/>
    <col min="4" max="4" width="17.5546875" customWidth="1"/>
    <col min="5" max="5" width="17.6640625" customWidth="1"/>
  </cols>
  <sheetData>
    <row r="1" spans="1:16" x14ac:dyDescent="0.3">
      <c r="D1" s="314" t="s">
        <v>130</v>
      </c>
      <c r="E1" s="314"/>
      <c r="L1" s="1"/>
      <c r="M1" s="1"/>
      <c r="N1" s="1"/>
    </row>
    <row r="2" spans="1:16" ht="71.25" customHeight="1" x14ac:dyDescent="0.3">
      <c r="D2" s="315" t="s">
        <v>131</v>
      </c>
      <c r="E2" s="315"/>
      <c r="L2" s="1"/>
      <c r="M2" s="1"/>
      <c r="N2" s="1"/>
    </row>
    <row r="3" spans="1:16" x14ac:dyDescent="0.3">
      <c r="L3" s="1"/>
      <c r="M3" s="1"/>
      <c r="N3" s="1"/>
      <c r="O3" s="1"/>
      <c r="P3" s="1"/>
    </row>
    <row r="4" spans="1:16" ht="17.399999999999999" x14ac:dyDescent="0.3">
      <c r="A4" s="351" t="s">
        <v>143</v>
      </c>
      <c r="B4" s="351"/>
      <c r="C4" s="351"/>
      <c r="D4" s="351"/>
      <c r="E4" s="351"/>
      <c r="P4" s="1"/>
    </row>
    <row r="5" spans="1:16" s="72" customFormat="1" ht="15.6" x14ac:dyDescent="0.3">
      <c r="A5" s="312" t="s">
        <v>211</v>
      </c>
      <c r="B5" s="312"/>
      <c r="C5" s="312"/>
      <c r="D5" s="312"/>
      <c r="E5" s="312"/>
      <c r="F5" s="73"/>
      <c r="G5" s="73"/>
    </row>
    <row r="6" spans="1:16" s="74" customFormat="1" ht="15.6" x14ac:dyDescent="0.3">
      <c r="A6" s="311" t="s">
        <v>210</v>
      </c>
      <c r="B6" s="311"/>
      <c r="C6" s="311"/>
      <c r="D6" s="311"/>
      <c r="E6" s="311"/>
    </row>
    <row r="7" spans="1:16" ht="16.5" customHeight="1" x14ac:dyDescent="0.3"/>
    <row r="8" spans="1:16" ht="24" x14ac:dyDescent="0.3">
      <c r="A8" s="257" t="s">
        <v>71</v>
      </c>
      <c r="B8" s="257" t="s">
        <v>113</v>
      </c>
      <c r="C8" s="257" t="s">
        <v>144</v>
      </c>
      <c r="D8" s="18" t="s">
        <v>145</v>
      </c>
      <c r="E8" s="18" t="s">
        <v>139</v>
      </c>
    </row>
    <row r="9" spans="1:16" x14ac:dyDescent="0.3">
      <c r="A9" s="257"/>
      <c r="B9" s="257"/>
      <c r="C9" s="257"/>
      <c r="D9" s="15" t="s">
        <v>142</v>
      </c>
      <c r="E9" s="15" t="s">
        <v>129</v>
      </c>
    </row>
    <row r="10" spans="1:16" x14ac:dyDescent="0.3">
      <c r="A10" s="15">
        <v>1</v>
      </c>
      <c r="B10" s="15">
        <v>2</v>
      </c>
      <c r="C10" s="15">
        <v>3</v>
      </c>
      <c r="D10" s="15">
        <v>4</v>
      </c>
      <c r="E10" s="15">
        <v>5</v>
      </c>
    </row>
    <row r="11" spans="1:16" x14ac:dyDescent="0.3">
      <c r="A11" s="6">
        <v>1</v>
      </c>
      <c r="B11" s="6"/>
      <c r="C11" s="14"/>
      <c r="D11" s="8"/>
      <c r="E11" s="8">
        <f>C11*D11</f>
        <v>0</v>
      </c>
    </row>
    <row r="12" spans="1:16" x14ac:dyDescent="0.3">
      <c r="A12" s="6">
        <v>2</v>
      </c>
      <c r="B12" s="6"/>
      <c r="C12" s="14"/>
      <c r="D12" s="8"/>
      <c r="E12" s="8">
        <f t="shared" ref="E12:E20" si="0">C12*D12</f>
        <v>0</v>
      </c>
    </row>
    <row r="13" spans="1:16" x14ac:dyDescent="0.3">
      <c r="A13" s="6">
        <v>3</v>
      </c>
      <c r="B13" s="6"/>
      <c r="C13" s="14"/>
      <c r="D13" s="8"/>
      <c r="E13" s="8">
        <f t="shared" si="0"/>
        <v>0</v>
      </c>
    </row>
    <row r="14" spans="1:16" x14ac:dyDescent="0.3">
      <c r="A14" s="6">
        <v>4</v>
      </c>
      <c r="B14" s="6"/>
      <c r="C14" s="14"/>
      <c r="D14" s="8"/>
      <c r="E14" s="8">
        <f t="shared" si="0"/>
        <v>0</v>
      </c>
    </row>
    <row r="15" spans="1:16" x14ac:dyDescent="0.3">
      <c r="A15" s="6">
        <v>5</v>
      </c>
      <c r="B15" s="6"/>
      <c r="C15" s="14"/>
      <c r="D15" s="8"/>
      <c r="E15" s="8">
        <f t="shared" si="0"/>
        <v>0</v>
      </c>
    </row>
    <row r="16" spans="1:16" x14ac:dyDescent="0.3">
      <c r="A16" s="6">
        <v>6</v>
      </c>
      <c r="B16" s="6"/>
      <c r="C16" s="14"/>
      <c r="D16" s="8"/>
      <c r="E16" s="8">
        <f t="shared" si="0"/>
        <v>0</v>
      </c>
    </row>
    <row r="17" spans="1:5" x14ac:dyDescent="0.3">
      <c r="A17" s="6">
        <v>7</v>
      </c>
      <c r="B17" s="6"/>
      <c r="C17" s="14"/>
      <c r="D17" s="8"/>
      <c r="E17" s="8">
        <f t="shared" si="0"/>
        <v>0</v>
      </c>
    </row>
    <row r="18" spans="1:5" x14ac:dyDescent="0.3">
      <c r="A18" s="6">
        <v>8</v>
      </c>
      <c r="B18" s="6"/>
      <c r="C18" s="14"/>
      <c r="D18" s="8"/>
      <c r="E18" s="8">
        <f t="shared" si="0"/>
        <v>0</v>
      </c>
    </row>
    <row r="19" spans="1:5" x14ac:dyDescent="0.3">
      <c r="A19" s="6">
        <v>9</v>
      </c>
      <c r="B19" s="6"/>
      <c r="C19" s="14"/>
      <c r="D19" s="8"/>
      <c r="E19" s="8">
        <f t="shared" si="0"/>
        <v>0</v>
      </c>
    </row>
    <row r="20" spans="1:5" x14ac:dyDescent="0.3">
      <c r="A20" s="6">
        <v>10</v>
      </c>
      <c r="B20" s="7"/>
      <c r="C20" s="16"/>
      <c r="D20" s="9"/>
      <c r="E20" s="8">
        <f t="shared" si="0"/>
        <v>0</v>
      </c>
    </row>
    <row r="21" spans="1:5" x14ac:dyDescent="0.3">
      <c r="A21" s="7"/>
      <c r="B21" s="7" t="s">
        <v>112</v>
      </c>
      <c r="C21" s="14">
        <f>SUM(C11:C20)</f>
        <v>0</v>
      </c>
      <c r="D21" s="8">
        <f t="shared" ref="D21:E21" si="1">SUM(D11:D20)</f>
        <v>0</v>
      </c>
      <c r="E21" s="8">
        <f t="shared" si="1"/>
        <v>0</v>
      </c>
    </row>
  </sheetData>
  <mergeCells count="8">
    <mergeCell ref="D1:E1"/>
    <mergeCell ref="D2:E2"/>
    <mergeCell ref="A4:E4"/>
    <mergeCell ref="A8:A9"/>
    <mergeCell ref="B8:B9"/>
    <mergeCell ref="C8:C9"/>
    <mergeCell ref="A5:E5"/>
    <mergeCell ref="A6:E6"/>
  </mergeCells>
  <pageMargins left="0.17" right="0.17" top="0.75" bottom="0.28999999999999998" header="0.3" footer="0.3"/>
  <pageSetup paperSize="9" fitToHeight="0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21"/>
  <sheetViews>
    <sheetView workbookViewId="0">
      <selection activeCell="F27" sqref="F27"/>
    </sheetView>
  </sheetViews>
  <sheetFormatPr defaultRowHeight="14.4" x14ac:dyDescent="0.3"/>
  <cols>
    <col min="2" max="2" width="25.88671875" customWidth="1"/>
    <col min="3" max="3" width="23" customWidth="1"/>
    <col min="4" max="4" width="17.5546875" customWidth="1"/>
    <col min="5" max="5" width="17.6640625" customWidth="1"/>
  </cols>
  <sheetData>
    <row r="1" spans="1:16" x14ac:dyDescent="0.3">
      <c r="D1" s="314" t="s">
        <v>130</v>
      </c>
      <c r="E1" s="314"/>
      <c r="L1" s="1"/>
      <c r="M1" s="1"/>
      <c r="N1" s="1"/>
    </row>
    <row r="2" spans="1:16" ht="71.25" customHeight="1" x14ac:dyDescent="0.3">
      <c r="D2" s="315" t="s">
        <v>131</v>
      </c>
      <c r="E2" s="315"/>
      <c r="L2" s="1"/>
      <c r="M2" s="1"/>
      <c r="N2" s="1"/>
    </row>
    <row r="3" spans="1:16" x14ac:dyDescent="0.3">
      <c r="L3" s="1"/>
      <c r="M3" s="1"/>
      <c r="N3" s="1"/>
      <c r="O3" s="1"/>
      <c r="P3" s="1"/>
    </row>
    <row r="4" spans="1:16" ht="17.399999999999999" x14ac:dyDescent="0.3">
      <c r="B4" s="316" t="s">
        <v>163</v>
      </c>
      <c r="C4" s="316"/>
      <c r="D4" s="316"/>
      <c r="E4" s="316"/>
      <c r="P4" s="1"/>
    </row>
    <row r="5" spans="1:16" s="72" customFormat="1" ht="15.6" x14ac:dyDescent="0.3">
      <c r="B5" s="312" t="s">
        <v>211</v>
      </c>
      <c r="C5" s="312"/>
      <c r="D5" s="312"/>
      <c r="E5" s="312"/>
      <c r="F5" s="73"/>
      <c r="G5" s="73"/>
    </row>
    <row r="6" spans="1:16" s="74" customFormat="1" ht="15.6" x14ac:dyDescent="0.3">
      <c r="B6" s="311" t="s">
        <v>210</v>
      </c>
      <c r="C6" s="311"/>
      <c r="D6" s="311"/>
      <c r="E6" s="311"/>
    </row>
    <row r="7" spans="1:16" ht="16.5" customHeight="1" x14ac:dyDescent="0.3"/>
    <row r="8" spans="1:16" ht="24" x14ac:dyDescent="0.3">
      <c r="A8" s="257" t="s">
        <v>71</v>
      </c>
      <c r="B8" s="257" t="s">
        <v>113</v>
      </c>
      <c r="C8" s="18" t="s">
        <v>116</v>
      </c>
      <c r="D8" s="18" t="s">
        <v>164</v>
      </c>
      <c r="E8" s="18" t="s">
        <v>139</v>
      </c>
    </row>
    <row r="9" spans="1:16" x14ac:dyDescent="0.3">
      <c r="A9" s="257"/>
      <c r="B9" s="257"/>
      <c r="C9" s="15" t="s">
        <v>154</v>
      </c>
      <c r="D9" s="15" t="s">
        <v>142</v>
      </c>
      <c r="E9" s="15" t="s">
        <v>129</v>
      </c>
    </row>
    <row r="10" spans="1:16" x14ac:dyDescent="0.3">
      <c r="A10" s="15">
        <v>1</v>
      </c>
      <c r="B10" s="15">
        <v>2</v>
      </c>
      <c r="C10" s="15">
        <v>3</v>
      </c>
      <c r="D10" s="15">
        <v>4</v>
      </c>
      <c r="E10" s="15">
        <v>5</v>
      </c>
    </row>
    <row r="11" spans="1:16" x14ac:dyDescent="0.3">
      <c r="A11" s="6">
        <v>1</v>
      </c>
      <c r="B11" s="6"/>
      <c r="C11" s="14"/>
      <c r="D11" s="8"/>
      <c r="E11" s="8">
        <f>C11*D11</f>
        <v>0</v>
      </c>
    </row>
    <row r="12" spans="1:16" x14ac:dyDescent="0.3">
      <c r="A12" s="6">
        <v>2</v>
      </c>
      <c r="B12" s="6"/>
      <c r="C12" s="14"/>
      <c r="D12" s="8"/>
      <c r="E12" s="8">
        <f t="shared" ref="E12:E20" si="0">C12*D12</f>
        <v>0</v>
      </c>
    </row>
    <row r="13" spans="1:16" x14ac:dyDescent="0.3">
      <c r="A13" s="6">
        <v>3</v>
      </c>
      <c r="B13" s="6"/>
      <c r="C13" s="14"/>
      <c r="D13" s="8"/>
      <c r="E13" s="8">
        <f>C13*D13</f>
        <v>0</v>
      </c>
    </row>
    <row r="14" spans="1:16" x14ac:dyDescent="0.3">
      <c r="A14" s="6">
        <v>4</v>
      </c>
      <c r="B14" s="6"/>
      <c r="C14" s="14"/>
      <c r="D14" s="8"/>
      <c r="E14" s="8">
        <f t="shared" si="0"/>
        <v>0</v>
      </c>
    </row>
    <row r="15" spans="1:16" x14ac:dyDescent="0.3">
      <c r="A15" s="6">
        <v>5</v>
      </c>
      <c r="B15" s="6"/>
      <c r="C15" s="14"/>
      <c r="D15" s="8"/>
      <c r="E15" s="8">
        <f t="shared" si="0"/>
        <v>0</v>
      </c>
    </row>
    <row r="16" spans="1:16" x14ac:dyDescent="0.3">
      <c r="A16" s="6">
        <v>6</v>
      </c>
      <c r="B16" s="6"/>
      <c r="C16" s="14"/>
      <c r="D16" s="8"/>
      <c r="E16" s="8">
        <f t="shared" si="0"/>
        <v>0</v>
      </c>
    </row>
    <row r="17" spans="1:13" x14ac:dyDescent="0.3">
      <c r="A17" s="6">
        <v>7</v>
      </c>
      <c r="B17" s="6"/>
      <c r="C17" s="14"/>
      <c r="D17" s="8"/>
      <c r="E17" s="8">
        <f t="shared" si="0"/>
        <v>0</v>
      </c>
    </row>
    <row r="18" spans="1:13" x14ac:dyDescent="0.3">
      <c r="A18" s="6">
        <v>8</v>
      </c>
      <c r="B18" s="6"/>
      <c r="C18" s="14"/>
      <c r="D18" s="8"/>
      <c r="E18" s="8">
        <f t="shared" si="0"/>
        <v>0</v>
      </c>
    </row>
    <row r="19" spans="1:13" x14ac:dyDescent="0.3">
      <c r="A19" s="6">
        <v>9</v>
      </c>
      <c r="B19" s="6"/>
      <c r="C19" s="14"/>
      <c r="D19" s="8"/>
      <c r="E19" s="8">
        <f t="shared" si="0"/>
        <v>0</v>
      </c>
    </row>
    <row r="20" spans="1:13" x14ac:dyDescent="0.3">
      <c r="A20" s="6">
        <v>10</v>
      </c>
      <c r="B20" s="7"/>
      <c r="C20" s="16"/>
      <c r="D20" s="9"/>
      <c r="E20" s="8">
        <f t="shared" si="0"/>
        <v>0</v>
      </c>
    </row>
    <row r="21" spans="1:13" x14ac:dyDescent="0.3">
      <c r="A21" s="7"/>
      <c r="B21" s="7" t="s">
        <v>112</v>
      </c>
      <c r="C21" s="14">
        <f>SUM(C11:C20)</f>
        <v>0</v>
      </c>
      <c r="D21" s="8">
        <f t="shared" ref="D21:E21" si="1">SUM(D11:D20)</f>
        <v>0</v>
      </c>
      <c r="E21" s="8">
        <f t="shared" si="1"/>
        <v>0</v>
      </c>
      <c r="M21" s="21"/>
    </row>
  </sheetData>
  <mergeCells count="7">
    <mergeCell ref="D1:E1"/>
    <mergeCell ref="D2:E2"/>
    <mergeCell ref="B4:E4"/>
    <mergeCell ref="A8:A9"/>
    <mergeCell ref="B8:B9"/>
    <mergeCell ref="B6:E6"/>
    <mergeCell ref="B5:E5"/>
  </mergeCells>
  <pageMargins left="0.17" right="0.17" top="0.75" bottom="0.28999999999999998" header="0.3" footer="0.3"/>
  <pageSetup paperSize="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8"/>
  <sheetViews>
    <sheetView topLeftCell="A19" zoomScaleNormal="100" workbookViewId="0">
      <selection activeCell="E33" sqref="E33:E34"/>
    </sheetView>
  </sheetViews>
  <sheetFormatPr defaultColWidth="9.109375" defaultRowHeight="12" x14ac:dyDescent="0.25"/>
  <cols>
    <col min="1" max="1" width="7.88671875" style="3" customWidth="1"/>
    <col min="2" max="2" width="41.44140625" style="27" customWidth="1"/>
    <col min="3" max="9" width="14.5546875" style="27" customWidth="1"/>
    <col min="10" max="11" width="9.109375" style="27"/>
    <col min="12" max="12" width="74.33203125" style="27" customWidth="1"/>
    <col min="13" max="16384" width="9.109375" style="27"/>
  </cols>
  <sheetData>
    <row r="1" spans="1:12" ht="15.6" x14ac:dyDescent="0.3">
      <c r="B1" s="306" t="s">
        <v>110</v>
      </c>
      <c r="C1" s="306"/>
      <c r="D1" s="306"/>
      <c r="E1" s="306"/>
      <c r="F1" s="306"/>
      <c r="G1" s="306"/>
      <c r="H1" s="306"/>
    </row>
    <row r="3" spans="1:12" x14ac:dyDescent="0.25">
      <c r="A3" s="257" t="s">
        <v>71</v>
      </c>
      <c r="B3" s="257" t="s">
        <v>72</v>
      </c>
      <c r="C3" s="257" t="s">
        <v>73</v>
      </c>
      <c r="D3" s="257" t="s">
        <v>74</v>
      </c>
      <c r="E3" s="257" t="s">
        <v>75</v>
      </c>
      <c r="F3" s="257" t="s">
        <v>76</v>
      </c>
      <c r="G3" s="257"/>
      <c r="H3" s="257"/>
      <c r="I3" s="257"/>
    </row>
    <row r="4" spans="1:12" ht="36" x14ac:dyDescent="0.25">
      <c r="A4" s="257"/>
      <c r="B4" s="257"/>
      <c r="C4" s="257"/>
      <c r="D4" s="257"/>
      <c r="E4" s="257"/>
      <c r="F4" s="38" t="s">
        <v>340</v>
      </c>
      <c r="G4" s="38" t="s">
        <v>341</v>
      </c>
      <c r="H4" s="38" t="s">
        <v>342</v>
      </c>
      <c r="I4" s="38" t="s">
        <v>77</v>
      </c>
    </row>
    <row r="5" spans="1:12" x14ac:dyDescent="0.25">
      <c r="A5" s="38">
        <v>1</v>
      </c>
      <c r="B5" s="38">
        <v>2</v>
      </c>
      <c r="C5" s="38">
        <v>3</v>
      </c>
      <c r="D5" s="38">
        <v>4</v>
      </c>
      <c r="E5" s="40" t="s">
        <v>198</v>
      </c>
      <c r="F5" s="38">
        <v>5</v>
      </c>
      <c r="G5" s="38">
        <v>6</v>
      </c>
      <c r="H5" s="38">
        <v>7</v>
      </c>
      <c r="I5" s="38">
        <v>8</v>
      </c>
    </row>
    <row r="6" spans="1:12" ht="24" x14ac:dyDescent="0.25">
      <c r="A6" s="68">
        <v>1</v>
      </c>
      <c r="B6" s="66" t="s">
        <v>209</v>
      </c>
      <c r="C6" s="46">
        <v>26000</v>
      </c>
      <c r="D6" s="46" t="s">
        <v>7</v>
      </c>
      <c r="E6" s="67"/>
      <c r="F6" s="67">
        <f>SUM(F7,F8,F9,F14,)</f>
        <v>0</v>
      </c>
      <c r="G6" s="67">
        <f>SUM(G7,G8,G9,G14,)</f>
        <v>0</v>
      </c>
      <c r="H6" s="67">
        <f>SUM(H7,H8,H9,H14,)</f>
        <v>0</v>
      </c>
      <c r="I6" s="67"/>
      <c r="L6" s="28"/>
    </row>
    <row r="7" spans="1:12" ht="98.4" x14ac:dyDescent="0.25">
      <c r="A7" s="69" t="s">
        <v>169</v>
      </c>
      <c r="B7" s="48" t="s">
        <v>168</v>
      </c>
      <c r="C7" s="49">
        <v>26100</v>
      </c>
      <c r="D7" s="49" t="s">
        <v>7</v>
      </c>
      <c r="E7" s="70"/>
      <c r="F7" s="70"/>
      <c r="G7" s="70"/>
      <c r="H7" s="70"/>
      <c r="I7" s="70"/>
      <c r="L7" s="28"/>
    </row>
    <row r="8" spans="1:12" ht="48" x14ac:dyDescent="0.25">
      <c r="A8" s="69" t="s">
        <v>170</v>
      </c>
      <c r="B8" s="53" t="s">
        <v>78</v>
      </c>
      <c r="C8" s="49">
        <v>26200</v>
      </c>
      <c r="D8" s="49" t="s">
        <v>7</v>
      </c>
      <c r="E8" s="61"/>
      <c r="F8" s="61"/>
      <c r="G8" s="61"/>
      <c r="H8" s="61"/>
      <c r="I8" s="61"/>
      <c r="L8" s="28"/>
    </row>
    <row r="9" spans="1:12" ht="48" x14ac:dyDescent="0.25">
      <c r="A9" s="69" t="s">
        <v>171</v>
      </c>
      <c r="B9" s="71" t="s">
        <v>79</v>
      </c>
      <c r="C9" s="49">
        <v>26300</v>
      </c>
      <c r="D9" s="49" t="s">
        <v>7</v>
      </c>
      <c r="E9" s="61"/>
      <c r="F9" s="61"/>
      <c r="G9" s="61"/>
      <c r="H9" s="61"/>
      <c r="I9" s="61"/>
      <c r="L9" s="28"/>
    </row>
    <row r="10" spans="1:12" x14ac:dyDescent="0.25">
      <c r="A10" s="307" t="s">
        <v>172</v>
      </c>
      <c r="B10" s="31" t="s">
        <v>80</v>
      </c>
      <c r="C10" s="257">
        <v>26310</v>
      </c>
      <c r="D10" s="257" t="s">
        <v>7</v>
      </c>
      <c r="E10" s="309" t="s">
        <v>7</v>
      </c>
      <c r="F10" s="308">
        <f>SUM(F12:F13)</f>
        <v>0</v>
      </c>
      <c r="G10" s="308">
        <f>SUM(G12:G13)</f>
        <v>0</v>
      </c>
      <c r="H10" s="308">
        <f>SUM(H12:H13)</f>
        <v>0</v>
      </c>
      <c r="I10" s="308"/>
      <c r="L10" s="28"/>
    </row>
    <row r="11" spans="1:12" x14ac:dyDescent="0.25">
      <c r="A11" s="307"/>
      <c r="B11" s="31" t="s">
        <v>81</v>
      </c>
      <c r="C11" s="257"/>
      <c r="D11" s="257"/>
      <c r="E11" s="309"/>
      <c r="F11" s="308"/>
      <c r="G11" s="308"/>
      <c r="H11" s="308"/>
      <c r="I11" s="308"/>
      <c r="L11" s="28"/>
    </row>
    <row r="12" spans="1:12" x14ac:dyDescent="0.25">
      <c r="A12" s="40"/>
      <c r="B12" s="31" t="s">
        <v>82</v>
      </c>
      <c r="C12" s="38" t="s">
        <v>83</v>
      </c>
      <c r="D12" s="39"/>
      <c r="E12" s="60"/>
      <c r="F12" s="60"/>
      <c r="G12" s="60"/>
      <c r="H12" s="60"/>
      <c r="I12" s="60"/>
      <c r="L12" s="28"/>
    </row>
    <row r="13" spans="1:12" x14ac:dyDescent="0.25">
      <c r="A13" s="40" t="s">
        <v>173</v>
      </c>
      <c r="B13" s="31" t="s">
        <v>84</v>
      </c>
      <c r="C13" s="38">
        <v>26320</v>
      </c>
      <c r="D13" s="38" t="s">
        <v>7</v>
      </c>
      <c r="E13" s="60"/>
      <c r="F13" s="60"/>
      <c r="G13" s="60"/>
      <c r="H13" s="60"/>
      <c r="I13" s="60"/>
    </row>
    <row r="14" spans="1:12" ht="48" x14ac:dyDescent="0.25">
      <c r="A14" s="69" t="s">
        <v>174</v>
      </c>
      <c r="B14" s="71" t="s">
        <v>85</v>
      </c>
      <c r="C14" s="49">
        <v>26400</v>
      </c>
      <c r="D14" s="49" t="s">
        <v>7</v>
      </c>
      <c r="E14" s="61"/>
      <c r="F14" s="61">
        <f>SUM(F15,F20,F25,F27,F32)</f>
        <v>0</v>
      </c>
      <c r="G14" s="61">
        <f>SUM(G15,G20,G25,G27,G32)</f>
        <v>0</v>
      </c>
      <c r="H14" s="61">
        <f>SUM(H15,H20,H25,H27,H32)</f>
        <v>0</v>
      </c>
      <c r="I14" s="61"/>
    </row>
    <row r="15" spans="1:12" x14ac:dyDescent="0.25">
      <c r="A15" s="307" t="s">
        <v>175</v>
      </c>
      <c r="B15" s="31" t="s">
        <v>11</v>
      </c>
      <c r="C15" s="257">
        <v>26410</v>
      </c>
      <c r="D15" s="257" t="s">
        <v>7</v>
      </c>
      <c r="E15" s="308"/>
      <c r="F15" s="308">
        <f>SUM(F17:F19)</f>
        <v>0</v>
      </c>
      <c r="G15" s="308">
        <f>SUM(G17:G19)</f>
        <v>0</v>
      </c>
      <c r="H15" s="308">
        <f>SUM(H17:H19)</f>
        <v>0</v>
      </c>
      <c r="I15" s="308"/>
    </row>
    <row r="16" spans="1:12" ht="24" x14ac:dyDescent="0.25">
      <c r="A16" s="307"/>
      <c r="B16" s="31" t="s">
        <v>86</v>
      </c>
      <c r="C16" s="257"/>
      <c r="D16" s="257"/>
      <c r="E16" s="308"/>
      <c r="F16" s="308"/>
      <c r="G16" s="308"/>
      <c r="H16" s="308"/>
      <c r="I16" s="308"/>
    </row>
    <row r="17" spans="1:9" x14ac:dyDescent="0.25">
      <c r="A17" s="307" t="s">
        <v>87</v>
      </c>
      <c r="B17" s="31" t="s">
        <v>11</v>
      </c>
      <c r="C17" s="257">
        <v>26411</v>
      </c>
      <c r="D17" s="257" t="s">
        <v>7</v>
      </c>
      <c r="E17" s="308"/>
      <c r="F17" s="308"/>
      <c r="G17" s="308"/>
      <c r="H17" s="308"/>
      <c r="I17" s="308"/>
    </row>
    <row r="18" spans="1:9" x14ac:dyDescent="0.25">
      <c r="A18" s="307"/>
      <c r="B18" s="31" t="s">
        <v>81</v>
      </c>
      <c r="C18" s="257"/>
      <c r="D18" s="257"/>
      <c r="E18" s="308"/>
      <c r="F18" s="308"/>
      <c r="G18" s="308"/>
      <c r="H18" s="308"/>
      <c r="I18" s="308"/>
    </row>
    <row r="19" spans="1:9" x14ac:dyDescent="0.25">
      <c r="A19" s="40" t="s">
        <v>88</v>
      </c>
      <c r="B19" s="27" t="s">
        <v>89</v>
      </c>
      <c r="C19" s="38">
        <v>26412</v>
      </c>
      <c r="D19" s="38" t="s">
        <v>7</v>
      </c>
      <c r="E19" s="60"/>
      <c r="F19" s="60"/>
      <c r="G19" s="60"/>
      <c r="H19" s="60"/>
      <c r="I19" s="60"/>
    </row>
    <row r="20" spans="1:9" ht="36" x14ac:dyDescent="0.25">
      <c r="A20" s="40" t="s">
        <v>177</v>
      </c>
      <c r="B20" s="27" t="s">
        <v>90</v>
      </c>
      <c r="C20" s="38">
        <v>26420</v>
      </c>
      <c r="D20" s="38" t="s">
        <v>7</v>
      </c>
      <c r="E20" s="60"/>
      <c r="F20" s="60">
        <f>SUM(F21:F24)</f>
        <v>0</v>
      </c>
      <c r="G20" s="60">
        <f>SUM(G21:G24)</f>
        <v>0</v>
      </c>
      <c r="H20" s="60">
        <f>SUM(H21:H24)</f>
        <v>0</v>
      </c>
      <c r="I20" s="60"/>
    </row>
    <row r="21" spans="1:9" x14ac:dyDescent="0.25">
      <c r="A21" s="307" t="s">
        <v>91</v>
      </c>
      <c r="B21" s="31" t="s">
        <v>11</v>
      </c>
      <c r="C21" s="257">
        <v>26421</v>
      </c>
      <c r="D21" s="257" t="s">
        <v>7</v>
      </c>
      <c r="E21" s="308"/>
      <c r="F21" s="308"/>
      <c r="G21" s="308"/>
      <c r="H21" s="308"/>
      <c r="I21" s="308"/>
    </row>
    <row r="22" spans="1:9" x14ac:dyDescent="0.25">
      <c r="A22" s="307"/>
      <c r="B22" s="31" t="s">
        <v>81</v>
      </c>
      <c r="C22" s="257"/>
      <c r="D22" s="257"/>
      <c r="E22" s="308"/>
      <c r="F22" s="308"/>
      <c r="G22" s="308"/>
      <c r="H22" s="308"/>
      <c r="I22" s="308"/>
    </row>
    <row r="23" spans="1:9" x14ac:dyDescent="0.25">
      <c r="A23" s="40"/>
      <c r="B23" s="31" t="s">
        <v>92</v>
      </c>
      <c r="C23" s="38" t="s">
        <v>93</v>
      </c>
      <c r="D23" s="38" t="s">
        <v>7</v>
      </c>
      <c r="E23" s="60"/>
      <c r="F23" s="60"/>
      <c r="G23" s="60"/>
      <c r="H23" s="60"/>
      <c r="I23" s="60"/>
    </row>
    <row r="24" spans="1:9" x14ac:dyDescent="0.25">
      <c r="A24" s="40" t="s">
        <v>94</v>
      </c>
      <c r="B24" s="27" t="s">
        <v>95</v>
      </c>
      <c r="C24" s="38">
        <v>26422</v>
      </c>
      <c r="D24" s="38" t="s">
        <v>7</v>
      </c>
      <c r="E24" s="60"/>
      <c r="F24" s="60"/>
      <c r="G24" s="60"/>
      <c r="H24" s="60"/>
      <c r="I24" s="60"/>
    </row>
    <row r="25" spans="1:9" ht="24" x14ac:dyDescent="0.25">
      <c r="A25" s="40" t="s">
        <v>176</v>
      </c>
      <c r="B25" s="27" t="s">
        <v>96</v>
      </c>
      <c r="C25" s="38">
        <v>26430</v>
      </c>
      <c r="D25" s="38" t="s">
        <v>7</v>
      </c>
      <c r="E25" s="60"/>
      <c r="F25" s="60">
        <f>SUM(F26)</f>
        <v>0</v>
      </c>
      <c r="G25" s="60">
        <f>SUM(G26)</f>
        <v>0</v>
      </c>
      <c r="H25" s="60">
        <f>SUM(H26)</f>
        <v>0</v>
      </c>
      <c r="I25" s="60"/>
    </row>
    <row r="26" spans="1:9" x14ac:dyDescent="0.25">
      <c r="A26" s="40"/>
      <c r="B26" s="31" t="s">
        <v>92</v>
      </c>
      <c r="C26" s="38" t="s">
        <v>97</v>
      </c>
      <c r="D26" s="38" t="s">
        <v>7</v>
      </c>
      <c r="E26" s="60"/>
      <c r="F26" s="60"/>
      <c r="G26" s="60"/>
      <c r="H26" s="60"/>
      <c r="I26" s="60"/>
    </row>
    <row r="27" spans="1:9" x14ac:dyDescent="0.25">
      <c r="A27" s="40" t="s">
        <v>178</v>
      </c>
      <c r="B27" s="31" t="s">
        <v>98</v>
      </c>
      <c r="C27" s="38">
        <v>26440</v>
      </c>
      <c r="D27" s="38" t="s">
        <v>7</v>
      </c>
      <c r="E27" s="60"/>
      <c r="F27" s="60">
        <f>SUM(F28:F31)</f>
        <v>0</v>
      </c>
      <c r="G27" s="60">
        <f>SUM(G28:G31)</f>
        <v>0</v>
      </c>
      <c r="H27" s="60">
        <f>SUM(H28:H31)</f>
        <v>0</v>
      </c>
      <c r="I27" s="60"/>
    </row>
    <row r="28" spans="1:9" x14ac:dyDescent="0.25">
      <c r="A28" s="307" t="s">
        <v>99</v>
      </c>
      <c r="B28" s="31" t="s">
        <v>11</v>
      </c>
      <c r="C28" s="257">
        <v>26441</v>
      </c>
      <c r="D28" s="257" t="s">
        <v>7</v>
      </c>
      <c r="E28" s="308"/>
      <c r="F28" s="308"/>
      <c r="G28" s="308"/>
      <c r="H28" s="308"/>
      <c r="I28" s="308"/>
    </row>
    <row r="29" spans="1:9" x14ac:dyDescent="0.25">
      <c r="A29" s="307"/>
      <c r="B29" s="31" t="s">
        <v>81</v>
      </c>
      <c r="C29" s="257"/>
      <c r="D29" s="257"/>
      <c r="E29" s="308"/>
      <c r="F29" s="308"/>
      <c r="G29" s="308"/>
      <c r="H29" s="308"/>
      <c r="I29" s="308"/>
    </row>
    <row r="30" spans="1:9" x14ac:dyDescent="0.25">
      <c r="A30" s="40"/>
      <c r="B30" s="31" t="s">
        <v>92</v>
      </c>
      <c r="C30" s="38" t="s">
        <v>100</v>
      </c>
      <c r="D30" s="38" t="s">
        <v>7</v>
      </c>
      <c r="E30" s="60"/>
      <c r="F30" s="60"/>
      <c r="G30" s="60"/>
      <c r="H30" s="60"/>
      <c r="I30" s="60"/>
    </row>
    <row r="31" spans="1:9" x14ac:dyDescent="0.25">
      <c r="A31" s="40" t="s">
        <v>101</v>
      </c>
      <c r="B31" s="31" t="s">
        <v>84</v>
      </c>
      <c r="C31" s="38">
        <v>26442</v>
      </c>
      <c r="D31" s="38" t="s">
        <v>7</v>
      </c>
      <c r="E31" s="60"/>
      <c r="F31" s="60"/>
      <c r="G31" s="60"/>
      <c r="H31" s="60"/>
      <c r="I31" s="60"/>
    </row>
    <row r="32" spans="1:9" x14ac:dyDescent="0.25">
      <c r="A32" s="40" t="s">
        <v>179</v>
      </c>
      <c r="B32" s="31" t="s">
        <v>98</v>
      </c>
      <c r="C32" s="38">
        <v>26450</v>
      </c>
      <c r="D32" s="38" t="s">
        <v>7</v>
      </c>
      <c r="E32" s="60"/>
      <c r="F32" s="60">
        <f>SUM(F33:F36)</f>
        <v>0</v>
      </c>
      <c r="G32" s="60">
        <f>SUM(G33:G36)</f>
        <v>0</v>
      </c>
      <c r="H32" s="60">
        <f>SUM(H33:H36)</f>
        <v>0</v>
      </c>
      <c r="I32" s="60"/>
    </row>
    <row r="33" spans="1:9" x14ac:dyDescent="0.25">
      <c r="A33" s="307" t="s">
        <v>102</v>
      </c>
      <c r="B33" s="31" t="s">
        <v>11</v>
      </c>
      <c r="C33" s="257">
        <v>26451</v>
      </c>
      <c r="D33" s="257" t="s">
        <v>7</v>
      </c>
      <c r="E33" s="308"/>
      <c r="F33" s="308"/>
      <c r="G33" s="308"/>
      <c r="H33" s="308"/>
      <c r="I33" s="308"/>
    </row>
    <row r="34" spans="1:9" x14ac:dyDescent="0.25">
      <c r="A34" s="307"/>
      <c r="B34" s="31" t="s">
        <v>81</v>
      </c>
      <c r="C34" s="257"/>
      <c r="D34" s="257"/>
      <c r="E34" s="308"/>
      <c r="F34" s="308"/>
      <c r="G34" s="308"/>
      <c r="H34" s="308"/>
      <c r="I34" s="308"/>
    </row>
    <row r="35" spans="1:9" x14ac:dyDescent="0.25">
      <c r="A35" s="40"/>
      <c r="B35" s="31" t="s">
        <v>92</v>
      </c>
      <c r="C35" s="38" t="s">
        <v>103</v>
      </c>
      <c r="D35" s="38" t="s">
        <v>7</v>
      </c>
      <c r="E35" s="60"/>
      <c r="F35" s="60"/>
      <c r="G35" s="60"/>
      <c r="H35" s="60"/>
      <c r="I35" s="60"/>
    </row>
    <row r="36" spans="1:9" x14ac:dyDescent="0.25">
      <c r="A36" s="40" t="s">
        <v>104</v>
      </c>
      <c r="B36" s="31" t="s">
        <v>84</v>
      </c>
      <c r="C36" s="38">
        <v>26452</v>
      </c>
      <c r="D36" s="38" t="s">
        <v>7</v>
      </c>
      <c r="E36" s="60"/>
      <c r="F36" s="60"/>
      <c r="G36" s="60"/>
      <c r="H36" s="60"/>
      <c r="I36" s="60"/>
    </row>
    <row r="37" spans="1:9" ht="48" x14ac:dyDescent="0.25">
      <c r="A37" s="65" t="s">
        <v>105</v>
      </c>
      <c r="B37" s="47" t="s">
        <v>106</v>
      </c>
      <c r="C37" s="46">
        <v>26500</v>
      </c>
      <c r="D37" s="46" t="s">
        <v>7</v>
      </c>
      <c r="E37" s="67"/>
      <c r="F37" s="67">
        <f>F38</f>
        <v>0</v>
      </c>
      <c r="G37" s="67">
        <f>G38</f>
        <v>0</v>
      </c>
      <c r="H37" s="67">
        <f>H38</f>
        <v>0</v>
      </c>
      <c r="I37" s="67"/>
    </row>
    <row r="38" spans="1:9" x14ac:dyDescent="0.25">
      <c r="A38" s="40"/>
      <c r="B38" s="31" t="s">
        <v>107</v>
      </c>
      <c r="C38" s="38">
        <v>26510</v>
      </c>
      <c r="D38" s="38"/>
      <c r="E38" s="64"/>
      <c r="F38" s="64"/>
      <c r="G38" s="64"/>
      <c r="H38" s="64"/>
      <c r="I38" s="64"/>
    </row>
    <row r="39" spans="1:9" ht="48" x14ac:dyDescent="0.25">
      <c r="A39" s="65" t="s">
        <v>108</v>
      </c>
      <c r="B39" s="47" t="s">
        <v>109</v>
      </c>
      <c r="C39" s="46">
        <v>26600</v>
      </c>
      <c r="D39" s="46" t="s">
        <v>7</v>
      </c>
      <c r="E39" s="67"/>
      <c r="F39" s="67">
        <f>F40</f>
        <v>0</v>
      </c>
      <c r="G39" s="67">
        <f>G40</f>
        <v>0</v>
      </c>
      <c r="H39" s="67">
        <f>H40</f>
        <v>0</v>
      </c>
      <c r="I39" s="67"/>
    </row>
    <row r="40" spans="1:9" x14ac:dyDescent="0.25">
      <c r="A40" s="40"/>
      <c r="B40" s="31" t="s">
        <v>107</v>
      </c>
      <c r="C40" s="38">
        <v>26610</v>
      </c>
      <c r="D40" s="38"/>
      <c r="E40" s="64"/>
      <c r="F40" s="64"/>
      <c r="G40" s="64"/>
      <c r="H40" s="64"/>
      <c r="I40" s="64"/>
    </row>
    <row r="43" spans="1:9" x14ac:dyDescent="0.25">
      <c r="A43" s="295" t="s">
        <v>204</v>
      </c>
      <c r="B43" s="295"/>
      <c r="C43" s="295"/>
      <c r="D43" s="295"/>
      <c r="E43" s="41"/>
      <c r="F43" s="41" t="s">
        <v>205</v>
      </c>
      <c r="G43" s="41" t="s">
        <v>228</v>
      </c>
    </row>
    <row r="44" spans="1:9" ht="12.6" x14ac:dyDescent="0.25">
      <c r="A44" s="295"/>
      <c r="B44" s="295"/>
      <c r="C44" s="295"/>
      <c r="D44" s="295"/>
      <c r="E44" s="41"/>
      <c r="F44" s="63" t="s">
        <v>206</v>
      </c>
      <c r="G44" s="63" t="s">
        <v>207</v>
      </c>
    </row>
    <row r="45" spans="1:9" hidden="1" x14ac:dyDescent="0.25">
      <c r="A45" s="295" t="s">
        <v>220</v>
      </c>
      <c r="B45" s="295"/>
      <c r="C45" s="295"/>
      <c r="D45" s="295"/>
      <c r="E45" s="41"/>
      <c r="F45" s="41" t="s">
        <v>205</v>
      </c>
      <c r="G45" s="41" t="s">
        <v>280</v>
      </c>
    </row>
    <row r="46" spans="1:9" ht="12.6" hidden="1" x14ac:dyDescent="0.25">
      <c r="A46" s="295"/>
      <c r="B46" s="295"/>
      <c r="C46" s="295"/>
      <c r="D46" s="295"/>
      <c r="E46" s="41"/>
      <c r="F46" s="63" t="s">
        <v>206</v>
      </c>
      <c r="G46" s="63" t="s">
        <v>207</v>
      </c>
    </row>
    <row r="47" spans="1:9" ht="13.2" x14ac:dyDescent="0.25">
      <c r="A47" s="295"/>
      <c r="B47" s="295"/>
      <c r="C47" s="295"/>
      <c r="D47" s="295"/>
      <c r="E47" s="111"/>
      <c r="F47" s="62"/>
      <c r="G47" s="62"/>
      <c r="H47" s="62"/>
    </row>
    <row r="48" spans="1:9" ht="13.2" x14ac:dyDescent="0.25">
      <c r="A48" s="296" t="s">
        <v>245</v>
      </c>
      <c r="B48" s="296"/>
      <c r="C48" s="296"/>
      <c r="D48" s="296"/>
      <c r="E48" s="310">
        <f>Титул!E28</f>
        <v>45666</v>
      </c>
      <c r="F48" s="310"/>
      <c r="G48" s="62"/>
      <c r="H48" s="62"/>
    </row>
  </sheetData>
  <mergeCells count="60">
    <mergeCell ref="A43:D44"/>
    <mergeCell ref="A45:D46"/>
    <mergeCell ref="A47:D47"/>
    <mergeCell ref="A48:D48"/>
    <mergeCell ref="E48:F48"/>
    <mergeCell ref="D3:D4"/>
    <mergeCell ref="E3:E4"/>
    <mergeCell ref="F3:I3"/>
    <mergeCell ref="I10:I11"/>
    <mergeCell ref="G15:G16"/>
    <mergeCell ref="H15:H16"/>
    <mergeCell ref="I15:I16"/>
    <mergeCell ref="G17:G18"/>
    <mergeCell ref="H17:H18"/>
    <mergeCell ref="I17:I18"/>
    <mergeCell ref="I21:I22"/>
    <mergeCell ref="G28:G29"/>
    <mergeCell ref="H28:H29"/>
    <mergeCell ref="I28:I29"/>
    <mergeCell ref="A15:A16"/>
    <mergeCell ref="C15:C16"/>
    <mergeCell ref="D15:D16"/>
    <mergeCell ref="E15:E16"/>
    <mergeCell ref="F15:F16"/>
    <mergeCell ref="A10:A11"/>
    <mergeCell ref="C10:C11"/>
    <mergeCell ref="D10:D11"/>
    <mergeCell ref="E10:E11"/>
    <mergeCell ref="F10:F11"/>
    <mergeCell ref="C28:C29"/>
    <mergeCell ref="D28:D29"/>
    <mergeCell ref="E28:E29"/>
    <mergeCell ref="F28:F29"/>
    <mergeCell ref="A17:A18"/>
    <mergeCell ref="C17:C18"/>
    <mergeCell ref="D17:D18"/>
    <mergeCell ref="E17:E18"/>
    <mergeCell ref="F17:F18"/>
    <mergeCell ref="I33:I34"/>
    <mergeCell ref="C33:C34"/>
    <mergeCell ref="D33:D34"/>
    <mergeCell ref="E33:E34"/>
    <mergeCell ref="F33:F34"/>
    <mergeCell ref="G33:G34"/>
    <mergeCell ref="B1:H1"/>
    <mergeCell ref="A33:A34"/>
    <mergeCell ref="H21:H22"/>
    <mergeCell ref="G10:G11"/>
    <mergeCell ref="H10:H11"/>
    <mergeCell ref="A3:A4"/>
    <mergeCell ref="B3:B4"/>
    <mergeCell ref="C3:C4"/>
    <mergeCell ref="G21:G22"/>
    <mergeCell ref="H33:H34"/>
    <mergeCell ref="A21:A22"/>
    <mergeCell ref="C21:C22"/>
    <mergeCell ref="D21:D22"/>
    <mergeCell ref="E21:E22"/>
    <mergeCell ref="F21:F22"/>
    <mergeCell ref="A28:A29"/>
  </mergeCells>
  <pageMargins left="0.25" right="0.25" top="0.75" bottom="0.75" header="0.3" footer="0.3"/>
  <pageSetup paperSize="9" scale="9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4"/>
  <sheetViews>
    <sheetView workbookViewId="0">
      <selection activeCell="H54" sqref="H54"/>
    </sheetView>
  </sheetViews>
  <sheetFormatPr defaultColWidth="9.109375" defaultRowHeight="13.8" x14ac:dyDescent="0.3"/>
  <cols>
    <col min="1" max="1" width="4.6640625" style="1" customWidth="1"/>
    <col min="2" max="2" width="38.44140625" style="1" customWidth="1"/>
    <col min="3" max="3" width="21.33203125" style="1" customWidth="1"/>
    <col min="4" max="4" width="15.44140625" style="1" customWidth="1"/>
    <col min="5" max="5" width="19.33203125" style="1" customWidth="1"/>
    <col min="6" max="6" width="27.109375" style="1" customWidth="1"/>
    <col min="7" max="16384" width="9.109375" style="1"/>
  </cols>
  <sheetData>
    <row r="1" spans="1:7" ht="17.25" customHeight="1" x14ac:dyDescent="0.3">
      <c r="E1" s="314" t="s">
        <v>130</v>
      </c>
      <c r="F1" s="314"/>
    </row>
    <row r="2" spans="1:7" ht="55.5" customHeight="1" x14ac:dyDescent="0.3">
      <c r="E2" s="315" t="s">
        <v>131</v>
      </c>
      <c r="F2" s="315"/>
    </row>
    <row r="4" spans="1:7" ht="17.399999999999999" x14ac:dyDescent="0.3">
      <c r="B4" s="316" t="s">
        <v>132</v>
      </c>
      <c r="C4" s="316"/>
      <c r="D4" s="316"/>
      <c r="E4" s="316"/>
    </row>
    <row r="5" spans="1:7" s="72" customFormat="1" ht="15.6" x14ac:dyDescent="0.3">
      <c r="B5" s="312" t="s">
        <v>211</v>
      </c>
      <c r="C5" s="312"/>
      <c r="D5" s="312"/>
      <c r="E5" s="312"/>
      <c r="F5" s="73"/>
      <c r="G5" s="73"/>
    </row>
    <row r="6" spans="1:7" customFormat="1" ht="15.6" x14ac:dyDescent="0.3">
      <c r="B6" s="311" t="s">
        <v>210</v>
      </c>
      <c r="C6" s="311"/>
      <c r="D6" s="311"/>
      <c r="E6" s="311"/>
      <c r="F6" s="1"/>
    </row>
    <row r="8" spans="1:7" x14ac:dyDescent="0.3">
      <c r="A8" s="313" t="s">
        <v>71</v>
      </c>
      <c r="B8" s="313" t="s">
        <v>113</v>
      </c>
      <c r="C8" s="22" t="s">
        <v>114</v>
      </c>
      <c r="D8" s="22" t="s">
        <v>116</v>
      </c>
      <c r="E8" s="22" t="s">
        <v>118</v>
      </c>
      <c r="F8" s="22" t="s">
        <v>120</v>
      </c>
    </row>
    <row r="9" spans="1:7" x14ac:dyDescent="0.3">
      <c r="A9" s="313"/>
      <c r="B9" s="313"/>
      <c r="C9" s="23" t="s">
        <v>115</v>
      </c>
      <c r="D9" s="23" t="s">
        <v>117</v>
      </c>
      <c r="E9" s="23" t="s">
        <v>119</v>
      </c>
      <c r="F9" s="23" t="s">
        <v>121</v>
      </c>
    </row>
    <row r="10" spans="1:7" x14ac:dyDescent="0.3">
      <c r="A10" s="313"/>
      <c r="B10" s="313"/>
      <c r="C10" s="11"/>
      <c r="D10" s="10"/>
      <c r="E10" s="11"/>
      <c r="F10" s="11"/>
    </row>
    <row r="11" spans="1:7" x14ac:dyDescent="0.3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</row>
    <row r="12" spans="1:7" x14ac:dyDescent="0.3">
      <c r="A12" s="10">
        <v>2</v>
      </c>
      <c r="B12" s="10"/>
      <c r="C12" s="10"/>
      <c r="D12" s="10"/>
      <c r="E12" s="12"/>
      <c r="F12" s="12">
        <f>C12*D12*E12</f>
        <v>0</v>
      </c>
    </row>
    <row r="13" spans="1:7" x14ac:dyDescent="0.3">
      <c r="A13" s="10">
        <v>3</v>
      </c>
      <c r="B13" s="10"/>
      <c r="C13" s="10"/>
      <c r="D13" s="10"/>
      <c r="E13" s="12"/>
      <c r="F13" s="12">
        <f t="shared" ref="F13:F15" si="0">C13*D13*E13</f>
        <v>0</v>
      </c>
    </row>
    <row r="14" spans="1:7" x14ac:dyDescent="0.3">
      <c r="A14" s="10">
        <v>4</v>
      </c>
      <c r="B14" s="10"/>
      <c r="C14" s="10"/>
      <c r="D14" s="10"/>
      <c r="E14" s="12"/>
      <c r="F14" s="12">
        <f t="shared" si="0"/>
        <v>0</v>
      </c>
    </row>
    <row r="15" spans="1:7" x14ac:dyDescent="0.3">
      <c r="A15" s="10">
        <v>5</v>
      </c>
      <c r="B15" s="10"/>
      <c r="C15" s="10"/>
      <c r="D15" s="10"/>
      <c r="E15" s="12"/>
      <c r="F15" s="12">
        <f t="shared" si="0"/>
        <v>0</v>
      </c>
    </row>
    <row r="16" spans="1:7" x14ac:dyDescent="0.3">
      <c r="A16" s="10">
        <v>6</v>
      </c>
      <c r="B16" s="10"/>
      <c r="C16" s="10"/>
      <c r="D16" s="10"/>
      <c r="E16" s="12"/>
      <c r="F16" s="12">
        <f>C16*D16*E16</f>
        <v>0</v>
      </c>
    </row>
    <row r="17" spans="1:6" x14ac:dyDescent="0.3">
      <c r="A17" s="13"/>
      <c r="B17" s="13" t="s">
        <v>112</v>
      </c>
      <c r="C17" s="10">
        <f>SUM(C12:C16)</f>
        <v>0</v>
      </c>
      <c r="D17" s="10">
        <f t="shared" ref="D17:F17" si="1">SUM(D12:D16)</f>
        <v>0</v>
      </c>
      <c r="E17" s="12">
        <f t="shared" si="1"/>
        <v>0</v>
      </c>
      <c r="F17" s="12">
        <f t="shared" si="1"/>
        <v>0</v>
      </c>
    </row>
    <row r="34" spans="2:2" x14ac:dyDescent="0.3">
      <c r="B34" s="24"/>
    </row>
  </sheetData>
  <mergeCells count="7">
    <mergeCell ref="B6:E6"/>
    <mergeCell ref="B5:E5"/>
    <mergeCell ref="A8:A10"/>
    <mergeCell ref="B8:B10"/>
    <mergeCell ref="E1:F1"/>
    <mergeCell ref="E2:F2"/>
    <mergeCell ref="B4:E4"/>
  </mergeCells>
  <pageMargins left="0.17" right="0.17" top="0.75" bottom="0.28999999999999998" header="0.3" footer="0.3"/>
  <pageSetup paperSize="9" scale="79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7"/>
  <sheetViews>
    <sheetView workbookViewId="0">
      <selection activeCell="D58" sqref="D58"/>
    </sheetView>
  </sheetViews>
  <sheetFormatPr defaultRowHeight="14.4" x14ac:dyDescent="0.3"/>
  <cols>
    <col min="1" max="1" width="8.33203125" customWidth="1"/>
    <col min="2" max="2" width="16.5546875" customWidth="1"/>
    <col min="3" max="3" width="21.6640625" customWidth="1"/>
    <col min="4" max="4" width="17.6640625" customWidth="1"/>
    <col min="5" max="6" width="19.109375" customWidth="1"/>
  </cols>
  <sheetData>
    <row r="1" spans="1:7" x14ac:dyDescent="0.3">
      <c r="B1" s="1"/>
      <c r="C1" s="1"/>
      <c r="D1" s="1"/>
      <c r="E1" s="314" t="s">
        <v>130</v>
      </c>
      <c r="F1" s="314"/>
    </row>
    <row r="2" spans="1:7" x14ac:dyDescent="0.3">
      <c r="B2" s="1"/>
      <c r="C2" s="1"/>
      <c r="D2" s="1"/>
      <c r="E2" s="315" t="s">
        <v>131</v>
      </c>
      <c r="F2" s="315"/>
    </row>
    <row r="3" spans="1:7" x14ac:dyDescent="0.3">
      <c r="B3" s="1"/>
      <c r="C3" s="1"/>
      <c r="D3" s="1"/>
      <c r="E3" s="1"/>
      <c r="F3" s="1"/>
    </row>
    <row r="4" spans="1:7" ht="17.399999999999999" x14ac:dyDescent="0.3">
      <c r="B4" s="316" t="s">
        <v>132</v>
      </c>
      <c r="C4" s="316"/>
      <c r="D4" s="316"/>
      <c r="E4" s="316"/>
      <c r="F4" s="316"/>
    </row>
    <row r="5" spans="1:7" s="72" customFormat="1" ht="15.6" x14ac:dyDescent="0.3">
      <c r="B5" s="312" t="s">
        <v>211</v>
      </c>
      <c r="C5" s="312"/>
      <c r="D5" s="312"/>
      <c r="E5" s="312"/>
      <c r="F5" s="312"/>
      <c r="G5" s="73"/>
    </row>
    <row r="6" spans="1:7" s="74" customFormat="1" ht="15.6" x14ac:dyDescent="0.3">
      <c r="B6" s="311" t="s">
        <v>210</v>
      </c>
      <c r="C6" s="311"/>
      <c r="D6" s="311"/>
      <c r="E6" s="311"/>
      <c r="F6" s="311"/>
    </row>
    <row r="7" spans="1:7" ht="11.25" customHeight="1" x14ac:dyDescent="0.3"/>
    <row r="8" spans="1:7" x14ac:dyDescent="0.3">
      <c r="A8" s="257" t="s">
        <v>71</v>
      </c>
      <c r="B8" s="257" t="s">
        <v>113</v>
      </c>
      <c r="C8" s="257" t="s">
        <v>122</v>
      </c>
      <c r="D8" s="257" t="s">
        <v>123</v>
      </c>
      <c r="E8" s="257" t="s">
        <v>124</v>
      </c>
      <c r="F8" s="18" t="s">
        <v>120</v>
      </c>
    </row>
    <row r="9" spans="1:7" ht="24" customHeight="1" x14ac:dyDescent="0.3">
      <c r="A9" s="257"/>
      <c r="B9" s="257"/>
      <c r="C9" s="257"/>
      <c r="D9" s="257"/>
      <c r="E9" s="257"/>
      <c r="F9" s="15" t="s">
        <v>121</v>
      </c>
    </row>
    <row r="10" spans="1:7" x14ac:dyDescent="0.3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</row>
    <row r="11" spans="1:7" x14ac:dyDescent="0.3">
      <c r="A11" s="6">
        <v>1</v>
      </c>
      <c r="B11" s="7" t="s">
        <v>125</v>
      </c>
      <c r="C11" s="6"/>
      <c r="D11" s="6"/>
      <c r="E11" s="8"/>
      <c r="F11" s="8">
        <f>C11*D11*E11</f>
        <v>0</v>
      </c>
    </row>
    <row r="12" spans="1:7" x14ac:dyDescent="0.3">
      <c r="A12" s="6">
        <v>2</v>
      </c>
      <c r="B12" s="6"/>
      <c r="C12" s="6"/>
      <c r="D12" s="6"/>
      <c r="E12" s="8"/>
      <c r="F12" s="8">
        <f t="shared" ref="F12:F16" si="0">C12*D12*E12</f>
        <v>0</v>
      </c>
    </row>
    <row r="13" spans="1:7" x14ac:dyDescent="0.3">
      <c r="A13" s="6">
        <v>3</v>
      </c>
      <c r="B13" s="6"/>
      <c r="C13" s="6"/>
      <c r="D13" s="6"/>
      <c r="E13" s="8"/>
      <c r="F13" s="8">
        <f t="shared" si="0"/>
        <v>0</v>
      </c>
    </row>
    <row r="14" spans="1:7" x14ac:dyDescent="0.3">
      <c r="A14" s="6">
        <v>4</v>
      </c>
      <c r="B14" s="6"/>
      <c r="C14" s="6"/>
      <c r="D14" s="6"/>
      <c r="E14" s="8"/>
      <c r="F14" s="8">
        <f t="shared" si="0"/>
        <v>0</v>
      </c>
    </row>
    <row r="15" spans="1:7" x14ac:dyDescent="0.3">
      <c r="A15" s="6">
        <v>5</v>
      </c>
      <c r="B15" s="6"/>
      <c r="C15" s="6"/>
      <c r="D15" s="6"/>
      <c r="E15" s="8"/>
      <c r="F15" s="8">
        <f t="shared" si="0"/>
        <v>0</v>
      </c>
    </row>
    <row r="16" spans="1:7" x14ac:dyDescent="0.3">
      <c r="A16" s="6">
        <v>6</v>
      </c>
      <c r="C16" s="7"/>
      <c r="D16" s="7"/>
      <c r="E16" s="8"/>
      <c r="F16" s="8">
        <f t="shared" si="0"/>
        <v>0</v>
      </c>
    </row>
    <row r="17" spans="1:6" x14ac:dyDescent="0.3">
      <c r="A17" s="7"/>
      <c r="B17" s="7" t="s">
        <v>112</v>
      </c>
      <c r="C17" s="7">
        <f>SUM(C11:C16)</f>
        <v>0</v>
      </c>
      <c r="D17" s="7">
        <f t="shared" ref="D17:F17" si="1">SUM(D11:D16)</f>
        <v>0</v>
      </c>
      <c r="E17" s="8">
        <f t="shared" si="1"/>
        <v>0</v>
      </c>
      <c r="F17" s="8">
        <f t="shared" si="1"/>
        <v>0</v>
      </c>
    </row>
  </sheetData>
  <mergeCells count="10">
    <mergeCell ref="E1:F1"/>
    <mergeCell ref="E2:F2"/>
    <mergeCell ref="A8:A9"/>
    <mergeCell ref="B8:B9"/>
    <mergeCell ref="C8:C9"/>
    <mergeCell ref="D8:D9"/>
    <mergeCell ref="E8:E9"/>
    <mergeCell ref="B4:F4"/>
    <mergeCell ref="B5:F5"/>
    <mergeCell ref="B6:F6"/>
  </mergeCells>
  <pageMargins left="0.17" right="0.17" top="0.75" bottom="0.28999999999999998" header="0.3" footer="0.3"/>
  <pageSetup paperSize="9" scale="98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  <pageSetUpPr fitToPage="1"/>
  </sheetPr>
  <dimension ref="A1:K35"/>
  <sheetViews>
    <sheetView topLeftCell="A19" workbookViewId="0">
      <selection activeCell="G42" sqref="G42"/>
    </sheetView>
  </sheetViews>
  <sheetFormatPr defaultColWidth="9.109375" defaultRowHeight="13.2" x14ac:dyDescent="0.25"/>
  <cols>
    <col min="1" max="1" width="25.33203125" style="62" customWidth="1"/>
    <col min="2" max="2" width="10.33203125" style="62" customWidth="1"/>
    <col min="3" max="3" width="12.33203125" style="62" customWidth="1"/>
    <col min="4" max="4" width="17.5546875" style="62" customWidth="1"/>
    <col min="5" max="5" width="17.6640625" style="62" customWidth="1"/>
    <col min="6" max="6" width="17" style="62" customWidth="1"/>
    <col min="7" max="7" width="10.5546875" style="62" bestFit="1" customWidth="1"/>
    <col min="8" max="8" width="15.6640625" style="62" customWidth="1"/>
    <col min="9" max="16384" width="9.109375" style="62"/>
  </cols>
  <sheetData>
    <row r="1" spans="1:8" s="72" customFormat="1" ht="15.6" x14ac:dyDescent="0.3">
      <c r="D1" s="326" t="s">
        <v>182</v>
      </c>
      <c r="E1" s="326"/>
      <c r="F1" s="326"/>
    </row>
    <row r="2" spans="1:8" s="72" customFormat="1" ht="51" customHeight="1" x14ac:dyDescent="0.3">
      <c r="D2" s="327" t="s">
        <v>343</v>
      </c>
      <c r="E2" s="327"/>
      <c r="F2" s="327"/>
    </row>
    <row r="3" spans="1:8" s="72" customFormat="1" ht="15.6" x14ac:dyDescent="0.3">
      <c r="D3" s="144" t="s">
        <v>238</v>
      </c>
    </row>
    <row r="4" spans="1:8" s="72" customFormat="1" ht="15.6" x14ac:dyDescent="0.3">
      <c r="D4" s="144"/>
    </row>
    <row r="5" spans="1:8" s="72" customFormat="1" ht="15.6" x14ac:dyDescent="0.3">
      <c r="A5" s="312" t="s">
        <v>240</v>
      </c>
      <c r="B5" s="312"/>
      <c r="C5" s="312"/>
      <c r="D5" s="312"/>
      <c r="E5" s="312"/>
      <c r="F5" s="312"/>
    </row>
    <row r="6" spans="1:8" s="72" customFormat="1" ht="15.6" x14ac:dyDescent="0.3">
      <c r="A6" s="329">
        <v>45666</v>
      </c>
      <c r="B6" s="329"/>
      <c r="C6" s="329"/>
      <c r="D6" s="329"/>
      <c r="E6" s="329"/>
      <c r="F6" s="329"/>
    </row>
    <row r="7" spans="1:8" s="72" customFormat="1" ht="15.6" x14ac:dyDescent="0.3">
      <c r="A7" s="330"/>
      <c r="B7" s="330"/>
      <c r="C7" s="330"/>
      <c r="D7" s="330"/>
      <c r="E7" s="330"/>
      <c r="F7" s="330"/>
    </row>
    <row r="8" spans="1:8" s="72" customFormat="1" ht="15.6" x14ac:dyDescent="0.3">
      <c r="A8" s="328" t="s">
        <v>132</v>
      </c>
      <c r="B8" s="328"/>
      <c r="C8" s="328"/>
      <c r="D8" s="328"/>
      <c r="E8" s="328"/>
      <c r="F8" s="328"/>
    </row>
    <row r="9" spans="1:8" s="72" customFormat="1" ht="15.6" x14ac:dyDescent="0.3">
      <c r="A9" s="312" t="s">
        <v>344</v>
      </c>
      <c r="B9" s="312"/>
      <c r="C9" s="312"/>
      <c r="D9" s="312"/>
      <c r="E9" s="312"/>
      <c r="F9" s="312"/>
      <c r="G9" s="73"/>
    </row>
    <row r="10" spans="1:8" s="72" customFormat="1" ht="15.6" x14ac:dyDescent="0.3">
      <c r="A10" s="311" t="s">
        <v>286</v>
      </c>
      <c r="B10" s="311"/>
      <c r="C10" s="311"/>
      <c r="D10" s="311"/>
      <c r="E10" s="311"/>
      <c r="F10" s="311"/>
    </row>
    <row r="11" spans="1:8" ht="16.5" customHeight="1" x14ac:dyDescent="0.25"/>
    <row r="12" spans="1:8" s="25" customFormat="1" ht="13.8" x14ac:dyDescent="0.25">
      <c r="A12" s="317" t="s">
        <v>407</v>
      </c>
      <c r="B12" s="317"/>
      <c r="C12" s="317"/>
      <c r="D12" s="317"/>
    </row>
    <row r="13" spans="1:8" s="25" customFormat="1" ht="60" x14ac:dyDescent="0.25">
      <c r="A13" s="195" t="s">
        <v>345</v>
      </c>
      <c r="B13" s="195" t="s">
        <v>346</v>
      </c>
      <c r="C13" s="195" t="s">
        <v>347</v>
      </c>
      <c r="D13" s="196" t="s">
        <v>348</v>
      </c>
      <c r="E13" s="196" t="s">
        <v>349</v>
      </c>
      <c r="F13" s="195" t="s">
        <v>350</v>
      </c>
      <c r="G13" s="195" t="s">
        <v>351</v>
      </c>
      <c r="H13" s="195" t="s">
        <v>352</v>
      </c>
    </row>
    <row r="14" spans="1:8" s="25" customFormat="1" ht="13.8" x14ac:dyDescent="0.25">
      <c r="A14" s="195">
        <v>1</v>
      </c>
      <c r="B14" s="195">
        <v>2</v>
      </c>
      <c r="C14" s="195">
        <v>3</v>
      </c>
      <c r="D14" s="195">
        <v>4</v>
      </c>
      <c r="E14" s="195">
        <v>5</v>
      </c>
      <c r="F14" s="195">
        <v>6</v>
      </c>
      <c r="G14" s="195">
        <v>7</v>
      </c>
      <c r="H14" s="195">
        <v>8</v>
      </c>
    </row>
    <row r="15" spans="1:8" s="25" customFormat="1" ht="13.8" x14ac:dyDescent="0.25">
      <c r="A15" s="207" t="s">
        <v>363</v>
      </c>
      <c r="B15" s="195">
        <v>2.1</v>
      </c>
      <c r="C15" s="8">
        <v>38675</v>
      </c>
      <c r="D15" s="8">
        <v>46300</v>
      </c>
      <c r="E15" s="8">
        <v>0</v>
      </c>
      <c r="F15" s="8">
        <f>SUM(C15:E15)*0.15</f>
        <v>12746.25</v>
      </c>
      <c r="G15" s="8">
        <f>SUM(C15:F15)</f>
        <v>97721.25</v>
      </c>
      <c r="H15" s="8">
        <f>G15*12</f>
        <v>1172655</v>
      </c>
    </row>
    <row r="16" spans="1:8" s="25" customFormat="1" ht="13.8" x14ac:dyDescent="0.25">
      <c r="A16" s="7" t="s">
        <v>112</v>
      </c>
      <c r="B16" s="8">
        <f t="shared" ref="B16:H16" si="0">SUM(B15:B15)</f>
        <v>2.1</v>
      </c>
      <c r="C16" s="8">
        <f t="shared" si="0"/>
        <v>38675</v>
      </c>
      <c r="D16" s="8">
        <f t="shared" si="0"/>
        <v>46300</v>
      </c>
      <c r="E16" s="8">
        <f t="shared" si="0"/>
        <v>0</v>
      </c>
      <c r="F16" s="8">
        <f t="shared" si="0"/>
        <v>12746.25</v>
      </c>
      <c r="G16" s="8">
        <f t="shared" si="0"/>
        <v>97721.25</v>
      </c>
      <c r="H16" s="8">
        <f t="shared" si="0"/>
        <v>1172655</v>
      </c>
    </row>
    <row r="17" spans="1:8" s="25" customFormat="1" ht="13.8" x14ac:dyDescent="0.25">
      <c r="B17" s="169"/>
      <c r="C17" s="169"/>
      <c r="D17" s="169"/>
      <c r="E17" s="169"/>
      <c r="F17" s="169"/>
      <c r="G17" s="169"/>
      <c r="H17" s="169"/>
    </row>
    <row r="18" spans="1:8" s="25" customFormat="1" ht="15" customHeight="1" x14ac:dyDescent="0.25">
      <c r="A18" s="317" t="s">
        <v>408</v>
      </c>
      <c r="B18" s="317"/>
      <c r="C18" s="317"/>
      <c r="D18" s="317"/>
      <c r="E18" s="170"/>
      <c r="F18" s="170"/>
      <c r="G18" s="170"/>
      <c r="H18" s="170"/>
    </row>
    <row r="19" spans="1:8" s="25" customFormat="1" ht="60" x14ac:dyDescent="0.25">
      <c r="A19" s="195" t="s">
        <v>345</v>
      </c>
      <c r="B19" s="195" t="s">
        <v>346</v>
      </c>
      <c r="C19" s="195" t="s">
        <v>347</v>
      </c>
      <c r="D19" s="196" t="s">
        <v>348</v>
      </c>
      <c r="E19" s="196" t="s">
        <v>349</v>
      </c>
      <c r="F19" s="195" t="s">
        <v>350</v>
      </c>
      <c r="G19" s="195" t="s">
        <v>351</v>
      </c>
      <c r="H19" s="195" t="s">
        <v>352</v>
      </c>
    </row>
    <row r="20" spans="1:8" s="25" customFormat="1" ht="13.8" x14ac:dyDescent="0.25">
      <c r="A20" s="195">
        <v>1</v>
      </c>
      <c r="B20" s="195">
        <v>2</v>
      </c>
      <c r="C20" s="195">
        <v>3</v>
      </c>
      <c r="D20" s="195">
        <v>4</v>
      </c>
      <c r="E20" s="195">
        <v>5</v>
      </c>
      <c r="F20" s="195">
        <v>6</v>
      </c>
      <c r="G20" s="195">
        <v>7</v>
      </c>
      <c r="H20" s="195">
        <v>8</v>
      </c>
    </row>
    <row r="21" spans="1:8" s="25" customFormat="1" ht="13.8" x14ac:dyDescent="0.25">
      <c r="A21" s="207" t="s">
        <v>363</v>
      </c>
      <c r="B21" s="195">
        <v>2.1</v>
      </c>
      <c r="C21" s="8"/>
      <c r="D21" s="171">
        <v>825</v>
      </c>
      <c r="E21" s="8"/>
      <c r="F21" s="8">
        <f>SUM(C21:E21)*0.15</f>
        <v>123.75</v>
      </c>
      <c r="G21" s="8">
        <f>SUM(C21:F21)</f>
        <v>948.75</v>
      </c>
      <c r="H21" s="8">
        <f>G21*12</f>
        <v>11385</v>
      </c>
    </row>
    <row r="22" spans="1:8" s="25" customFormat="1" ht="13.8" x14ac:dyDescent="0.25">
      <c r="A22" s="7" t="s">
        <v>357</v>
      </c>
      <c r="B22" s="8">
        <f t="shared" ref="B22:H22" si="1">SUM(B21:B21)</f>
        <v>2.1</v>
      </c>
      <c r="C22" s="8">
        <f t="shared" si="1"/>
        <v>0</v>
      </c>
      <c r="D22" s="8">
        <f t="shared" si="1"/>
        <v>825</v>
      </c>
      <c r="E22" s="8">
        <f t="shared" si="1"/>
        <v>0</v>
      </c>
      <c r="F22" s="8">
        <f t="shared" si="1"/>
        <v>123.75</v>
      </c>
      <c r="G22" s="8">
        <f t="shared" si="1"/>
        <v>948.75</v>
      </c>
      <c r="H22" s="8">
        <f t="shared" si="1"/>
        <v>11385</v>
      </c>
    </row>
    <row r="23" spans="1:8" s="25" customFormat="1" ht="13.8" x14ac:dyDescent="0.25">
      <c r="B23" s="169"/>
      <c r="C23" s="169"/>
      <c r="D23" s="169"/>
      <c r="E23" s="169"/>
      <c r="F23" s="169"/>
      <c r="G23" s="169"/>
      <c r="H23" s="169"/>
    </row>
    <row r="24" spans="1:8" s="25" customFormat="1" ht="13.8" x14ac:dyDescent="0.25"/>
    <row r="25" spans="1:8" s="25" customFormat="1" ht="13.8" x14ac:dyDescent="0.25"/>
    <row r="26" spans="1:8" s="25" customFormat="1" ht="15.6" x14ac:dyDescent="0.3">
      <c r="A26" s="318" t="s">
        <v>360</v>
      </c>
      <c r="B26" s="319"/>
      <c r="C26" s="319"/>
      <c r="D26" s="319"/>
      <c r="E26" s="320"/>
      <c r="F26" s="177" t="s">
        <v>76</v>
      </c>
    </row>
    <row r="27" spans="1:8" s="25" customFormat="1" ht="13.8" x14ac:dyDescent="0.25">
      <c r="A27" s="321">
        <v>1</v>
      </c>
      <c r="B27" s="322"/>
      <c r="C27" s="322"/>
      <c r="D27" s="322"/>
      <c r="E27" s="323"/>
      <c r="F27" s="195">
        <v>2</v>
      </c>
    </row>
    <row r="28" spans="1:8" s="25" customFormat="1" ht="13.8" x14ac:dyDescent="0.25">
      <c r="A28" s="324" t="s">
        <v>232</v>
      </c>
      <c r="B28" s="324"/>
      <c r="C28" s="324"/>
      <c r="D28" s="324"/>
      <c r="E28" s="324"/>
      <c r="F28" s="175">
        <f>F29</f>
        <v>1550000</v>
      </c>
    </row>
    <row r="29" spans="1:8" s="25" customFormat="1" ht="13.8" x14ac:dyDescent="0.25">
      <c r="A29" s="325" t="s">
        <v>364</v>
      </c>
      <c r="B29" s="325"/>
      <c r="C29" s="325"/>
      <c r="D29" s="325"/>
      <c r="E29" s="325"/>
      <c r="F29" s="176">
        <v>1550000</v>
      </c>
    </row>
    <row r="30" spans="1:8" s="25" customFormat="1" ht="13.8" x14ac:dyDescent="0.25">
      <c r="A30" s="324" t="s">
        <v>362</v>
      </c>
      <c r="B30" s="324"/>
      <c r="C30" s="324"/>
      <c r="D30" s="324"/>
      <c r="E30" s="324"/>
      <c r="F30" s="175">
        <f>SUM(F31:F33)</f>
        <v>1550000</v>
      </c>
    </row>
    <row r="31" spans="1:8" s="25" customFormat="1" ht="13.8" x14ac:dyDescent="0.25">
      <c r="A31" s="325" t="s">
        <v>361</v>
      </c>
      <c r="B31" s="325"/>
      <c r="C31" s="325"/>
      <c r="D31" s="325"/>
      <c r="E31" s="325"/>
      <c r="F31" s="176">
        <f>H16</f>
        <v>1172655</v>
      </c>
    </row>
    <row r="32" spans="1:8" s="25" customFormat="1" ht="13.8" x14ac:dyDescent="0.25">
      <c r="A32" s="325" t="s">
        <v>408</v>
      </c>
      <c r="B32" s="325"/>
      <c r="C32" s="325"/>
      <c r="D32" s="325"/>
      <c r="E32" s="325"/>
      <c r="F32" s="176">
        <f>H22</f>
        <v>11385</v>
      </c>
    </row>
    <row r="33" spans="1:11" s="25" customFormat="1" ht="13.8" x14ac:dyDescent="0.25">
      <c r="A33" s="325" t="s">
        <v>218</v>
      </c>
      <c r="B33" s="325"/>
      <c r="C33" s="325"/>
      <c r="D33" s="325"/>
      <c r="E33" s="325"/>
      <c r="F33" s="176">
        <v>365960</v>
      </c>
    </row>
    <row r="34" spans="1:11" s="25" customFormat="1" ht="13.8" x14ac:dyDescent="0.25">
      <c r="A34" s="324" t="s">
        <v>234</v>
      </c>
      <c r="B34" s="324"/>
      <c r="C34" s="324"/>
      <c r="D34" s="324"/>
      <c r="E34" s="324"/>
      <c r="F34" s="175">
        <f>F30-F28</f>
        <v>0</v>
      </c>
    </row>
    <row r="35" spans="1:11" customFormat="1" ht="14.4" x14ac:dyDescent="0.3">
      <c r="B35" s="208"/>
      <c r="C35" s="170"/>
      <c r="D35" s="170"/>
      <c r="E35" s="170"/>
      <c r="F35" s="170"/>
      <c r="G35" s="170"/>
      <c r="H35" s="170"/>
      <c r="K35" s="77"/>
    </row>
  </sheetData>
  <mergeCells count="19">
    <mergeCell ref="A30:E30"/>
    <mergeCell ref="A31:E31"/>
    <mergeCell ref="A32:E32"/>
    <mergeCell ref="A33:E33"/>
    <mergeCell ref="A34:E34"/>
    <mergeCell ref="A12:D12"/>
    <mergeCell ref="D1:F1"/>
    <mergeCell ref="D2:F2"/>
    <mergeCell ref="A10:F10"/>
    <mergeCell ref="A8:F8"/>
    <mergeCell ref="A5:F5"/>
    <mergeCell ref="A6:F6"/>
    <mergeCell ref="A7:F7"/>
    <mergeCell ref="A9:F9"/>
    <mergeCell ref="A18:D18"/>
    <mergeCell ref="A26:E26"/>
    <mergeCell ref="A27:E27"/>
    <mergeCell ref="A28:E28"/>
    <mergeCell ref="A29:E29"/>
  </mergeCells>
  <pageMargins left="0.17" right="0.17" top="0.75" bottom="0.28999999999999998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G21"/>
  <sheetViews>
    <sheetView workbookViewId="0">
      <selection activeCell="C39" sqref="C39"/>
    </sheetView>
  </sheetViews>
  <sheetFormatPr defaultColWidth="9.109375" defaultRowHeight="13.2" x14ac:dyDescent="0.25"/>
  <cols>
    <col min="1" max="1" width="9.109375" style="62"/>
    <col min="2" max="2" width="25.88671875" style="62" customWidth="1"/>
    <col min="3" max="3" width="23" style="62" customWidth="1"/>
    <col min="4" max="4" width="17.5546875" style="62" customWidth="1"/>
    <col min="5" max="5" width="17.6640625" style="62" customWidth="1"/>
    <col min="6" max="16384" width="9.109375" style="62"/>
  </cols>
  <sheetData>
    <row r="1" spans="1:7" s="72" customFormat="1" ht="15.6" x14ac:dyDescent="0.3">
      <c r="A1" s="164"/>
      <c r="B1" s="164"/>
      <c r="C1" s="326" t="s">
        <v>182</v>
      </c>
      <c r="D1" s="326"/>
      <c r="E1" s="326"/>
      <c r="F1" s="165"/>
    </row>
    <row r="2" spans="1:7" s="72" customFormat="1" ht="49.5" customHeight="1" x14ac:dyDescent="0.3">
      <c r="A2" s="164"/>
      <c r="B2" s="164"/>
      <c r="C2" s="334" t="s">
        <v>381</v>
      </c>
      <c r="D2" s="334"/>
      <c r="E2" s="334"/>
      <c r="F2" s="166"/>
    </row>
    <row r="3" spans="1:7" s="72" customFormat="1" ht="15.6" x14ac:dyDescent="0.3">
      <c r="A3" s="164"/>
      <c r="B3" s="164"/>
      <c r="C3" s="335" t="s">
        <v>238</v>
      </c>
      <c r="D3" s="335"/>
      <c r="E3" s="335"/>
      <c r="F3" s="164"/>
    </row>
    <row r="4" spans="1:7" s="72" customFormat="1" ht="15.6" x14ac:dyDescent="0.3">
      <c r="A4" s="164"/>
      <c r="B4" s="164"/>
      <c r="C4" s="164"/>
      <c r="D4" s="167"/>
      <c r="E4" s="164"/>
      <c r="F4" s="164"/>
    </row>
    <row r="5" spans="1:7" s="72" customFormat="1" ht="15.6" x14ac:dyDescent="0.3">
      <c r="A5" s="312" t="s">
        <v>240</v>
      </c>
      <c r="B5" s="312"/>
      <c r="C5" s="312"/>
      <c r="D5" s="312"/>
      <c r="E5" s="312"/>
      <c r="F5" s="312"/>
    </row>
    <row r="6" spans="1:7" s="72" customFormat="1" ht="15.6" x14ac:dyDescent="0.3">
      <c r="A6" s="329">
        <v>45666</v>
      </c>
      <c r="B6" s="329"/>
      <c r="C6" s="329"/>
      <c r="D6" s="329"/>
      <c r="E6" s="329"/>
      <c r="F6" s="329"/>
    </row>
    <row r="7" spans="1:7" s="72" customFormat="1" ht="15.6" x14ac:dyDescent="0.3">
      <c r="A7" s="330"/>
      <c r="B7" s="330"/>
      <c r="C7" s="330"/>
      <c r="D7" s="330"/>
      <c r="E7" s="330"/>
      <c r="F7" s="330"/>
    </row>
    <row r="8" spans="1:7" s="72" customFormat="1" ht="15.6" x14ac:dyDescent="0.3">
      <c r="A8" s="328" t="s">
        <v>132</v>
      </c>
      <c r="B8" s="328"/>
      <c r="C8" s="328"/>
      <c r="D8" s="328"/>
      <c r="E8" s="328"/>
      <c r="F8" s="328"/>
    </row>
    <row r="9" spans="1:7" s="72" customFormat="1" ht="15.6" x14ac:dyDescent="0.3">
      <c r="A9" s="312" t="s">
        <v>344</v>
      </c>
      <c r="B9" s="312"/>
      <c r="C9" s="312"/>
      <c r="D9" s="312"/>
      <c r="E9" s="312"/>
      <c r="F9" s="312"/>
      <c r="G9" s="73"/>
    </row>
    <row r="10" spans="1:7" s="72" customFormat="1" ht="15.6" x14ac:dyDescent="0.3">
      <c r="B10" s="311" t="s">
        <v>288</v>
      </c>
      <c r="C10" s="311"/>
      <c r="D10" s="311"/>
      <c r="E10" s="311"/>
    </row>
    <row r="11" spans="1:7" s="72" customFormat="1" ht="16.5" customHeight="1" x14ac:dyDescent="0.3"/>
    <row r="12" spans="1:7" x14ac:dyDescent="0.25">
      <c r="A12" s="313" t="s">
        <v>71</v>
      </c>
      <c r="B12" s="313" t="s">
        <v>113</v>
      </c>
      <c r="C12" s="313" t="s">
        <v>126</v>
      </c>
      <c r="D12" s="22" t="s">
        <v>127</v>
      </c>
      <c r="E12" s="22" t="s">
        <v>120</v>
      </c>
    </row>
    <row r="13" spans="1:7" ht="21.75" customHeight="1" x14ac:dyDescent="0.25">
      <c r="A13" s="313"/>
      <c r="B13" s="313"/>
      <c r="C13" s="313"/>
      <c r="D13" s="23" t="s">
        <v>128</v>
      </c>
      <c r="E13" s="23" t="s">
        <v>129</v>
      </c>
    </row>
    <row r="14" spans="1:7" x14ac:dyDescent="0.25">
      <c r="A14" s="141">
        <v>1</v>
      </c>
      <c r="B14" s="141">
        <v>2</v>
      </c>
      <c r="C14" s="141">
        <v>3</v>
      </c>
      <c r="D14" s="141">
        <v>4</v>
      </c>
      <c r="E14" s="141">
        <v>5</v>
      </c>
    </row>
    <row r="15" spans="1:7" ht="15" customHeight="1" x14ac:dyDescent="0.25">
      <c r="A15" s="331" t="s">
        <v>232</v>
      </c>
      <c r="B15" s="332"/>
      <c r="C15" s="332"/>
      <c r="D15" s="333"/>
      <c r="E15" s="154">
        <f>E17</f>
        <v>468000</v>
      </c>
    </row>
    <row r="16" spans="1:7" ht="15" customHeight="1" x14ac:dyDescent="0.25">
      <c r="A16" s="141">
        <v>1</v>
      </c>
      <c r="B16" s="150" t="s">
        <v>212</v>
      </c>
      <c r="C16" s="12">
        <v>1550000</v>
      </c>
      <c r="D16" s="157">
        <f>ROUND(E16/C16,3)</f>
        <v>0.30199999999999999</v>
      </c>
      <c r="E16" s="12">
        <v>468000</v>
      </c>
    </row>
    <row r="17" spans="1:5" ht="15" hidden="1" customHeight="1" x14ac:dyDescent="0.25">
      <c r="A17" s="13"/>
      <c r="B17" s="13" t="s">
        <v>112</v>
      </c>
      <c r="C17" s="12">
        <f>SUM(C16:C16)</f>
        <v>1550000</v>
      </c>
      <c r="D17" s="157">
        <f>SUM(D16:D16)</f>
        <v>0.30199999999999999</v>
      </c>
      <c r="E17" s="12">
        <f>SUM(E16:E16)</f>
        <v>468000</v>
      </c>
    </row>
    <row r="18" spans="1:5" ht="15" customHeight="1" x14ac:dyDescent="0.25">
      <c r="A18" s="331" t="s">
        <v>232</v>
      </c>
      <c r="B18" s="332"/>
      <c r="C18" s="332"/>
      <c r="D18" s="333"/>
      <c r="E18" s="154">
        <f>E20</f>
        <v>0</v>
      </c>
    </row>
    <row r="19" spans="1:5" ht="15" customHeight="1" x14ac:dyDescent="0.25">
      <c r="A19" s="141">
        <v>1</v>
      </c>
      <c r="B19" s="150" t="s">
        <v>212</v>
      </c>
      <c r="C19" s="12">
        <v>0</v>
      </c>
      <c r="D19" s="157">
        <v>0.30199999999999999</v>
      </c>
      <c r="E19" s="12">
        <v>0</v>
      </c>
    </row>
    <row r="20" spans="1:5" ht="15" hidden="1" customHeight="1" x14ac:dyDescent="0.25">
      <c r="A20" s="13"/>
      <c r="B20" s="13" t="s">
        <v>112</v>
      </c>
      <c r="C20" s="12">
        <f>SUM(C19:C19)</f>
        <v>0</v>
      </c>
      <c r="D20" s="157">
        <f>SUM(D19:D19)</f>
        <v>0.30199999999999999</v>
      </c>
      <c r="E20" s="12">
        <f>SUM(E19:E19)</f>
        <v>0</v>
      </c>
    </row>
    <row r="21" spans="1:5" ht="15" customHeight="1" x14ac:dyDescent="0.25">
      <c r="A21" s="331" t="s">
        <v>234</v>
      </c>
      <c r="B21" s="332"/>
      <c r="C21" s="332"/>
      <c r="D21" s="333"/>
      <c r="E21" s="154">
        <f>E18-E15</f>
        <v>-468000</v>
      </c>
    </row>
  </sheetData>
  <mergeCells count="15">
    <mergeCell ref="C1:E1"/>
    <mergeCell ref="C2:E2"/>
    <mergeCell ref="C3:E3"/>
    <mergeCell ref="C12:C13"/>
    <mergeCell ref="A15:D15"/>
    <mergeCell ref="A5:F5"/>
    <mergeCell ref="A6:F6"/>
    <mergeCell ref="A7:F7"/>
    <mergeCell ref="A8:F8"/>
    <mergeCell ref="A9:F9"/>
    <mergeCell ref="A18:D18"/>
    <mergeCell ref="A21:D21"/>
    <mergeCell ref="B10:E10"/>
    <mergeCell ref="A12:A13"/>
    <mergeCell ref="B12:B13"/>
  </mergeCells>
  <pageMargins left="0.17" right="0.17" top="0.75" bottom="0.28999999999999998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F22"/>
  <sheetViews>
    <sheetView topLeftCell="A4" workbookViewId="0">
      <selection activeCell="F61" sqref="F61:F65"/>
    </sheetView>
  </sheetViews>
  <sheetFormatPr defaultColWidth="9.109375" defaultRowHeight="13.2" x14ac:dyDescent="0.25"/>
  <cols>
    <col min="1" max="1" width="9.109375" style="62"/>
    <col min="2" max="2" width="25.88671875" style="62" customWidth="1"/>
    <col min="3" max="3" width="12.33203125" style="62" customWidth="1"/>
    <col min="4" max="4" width="17.5546875" style="62" customWidth="1"/>
    <col min="5" max="5" width="17.6640625" style="62" customWidth="1"/>
    <col min="6" max="6" width="17" style="62" customWidth="1"/>
    <col min="7" max="16384" width="9.109375" style="62"/>
  </cols>
  <sheetData>
    <row r="1" spans="1:6" s="72" customFormat="1" ht="15.6" x14ac:dyDescent="0.3">
      <c r="C1" s="326" t="s">
        <v>182</v>
      </c>
      <c r="D1" s="326"/>
      <c r="E1" s="326"/>
      <c r="F1" s="156"/>
    </row>
    <row r="2" spans="1:6" s="72" customFormat="1" ht="49.5" customHeight="1" x14ac:dyDescent="0.3">
      <c r="C2" s="327" t="s">
        <v>381</v>
      </c>
      <c r="D2" s="327"/>
      <c r="E2" s="327"/>
      <c r="F2" s="327"/>
    </row>
    <row r="3" spans="1:6" s="72" customFormat="1" ht="15.6" x14ac:dyDescent="0.3">
      <c r="C3" s="335" t="s">
        <v>238</v>
      </c>
      <c r="D3" s="335"/>
      <c r="E3" s="335"/>
    </row>
    <row r="4" spans="1:6" s="72" customFormat="1" ht="15.6" x14ac:dyDescent="0.3">
      <c r="C4" s="144"/>
      <c r="D4" s="144"/>
      <c r="E4" s="144"/>
    </row>
    <row r="5" spans="1:6" s="72" customFormat="1" ht="15.6" x14ac:dyDescent="0.3">
      <c r="A5" s="312" t="s">
        <v>240</v>
      </c>
      <c r="B5" s="312"/>
      <c r="C5" s="312"/>
      <c r="D5" s="312"/>
      <c r="E5" s="312"/>
      <c r="F5" s="312"/>
    </row>
    <row r="6" spans="1:6" s="72" customFormat="1" ht="15.6" x14ac:dyDescent="0.3">
      <c r="A6" s="329">
        <v>45666</v>
      </c>
      <c r="B6" s="329"/>
      <c r="C6" s="329"/>
      <c r="D6" s="329"/>
      <c r="E6" s="329"/>
      <c r="F6" s="329"/>
    </row>
    <row r="7" spans="1:6" s="72" customFormat="1" ht="15.6" x14ac:dyDescent="0.3">
      <c r="A7" s="329"/>
      <c r="B7" s="329"/>
      <c r="C7" s="329"/>
      <c r="D7" s="329"/>
      <c r="E7" s="329"/>
      <c r="F7" s="329"/>
    </row>
    <row r="8" spans="1:6" s="72" customFormat="1" ht="15.6" x14ac:dyDescent="0.3">
      <c r="A8" s="328" t="s">
        <v>160</v>
      </c>
      <c r="B8" s="328"/>
      <c r="C8" s="328"/>
      <c r="D8" s="328"/>
      <c r="E8" s="328"/>
      <c r="F8" s="328"/>
    </row>
    <row r="9" spans="1:6" s="72" customFormat="1" ht="15.6" x14ac:dyDescent="0.3">
      <c r="A9" s="312" t="s">
        <v>344</v>
      </c>
      <c r="B9" s="312"/>
      <c r="C9" s="312"/>
      <c r="D9" s="312"/>
      <c r="E9" s="312"/>
      <c r="F9" s="312"/>
    </row>
    <row r="10" spans="1:6" s="72" customFormat="1" ht="15.6" x14ac:dyDescent="0.3">
      <c r="A10" s="311" t="s">
        <v>290</v>
      </c>
      <c r="B10" s="311"/>
      <c r="C10" s="311"/>
      <c r="D10" s="311"/>
      <c r="E10" s="311"/>
      <c r="F10" s="311"/>
    </row>
    <row r="11" spans="1:6" ht="16.5" customHeight="1" x14ac:dyDescent="0.25"/>
    <row r="12" spans="1:6" ht="26.4" x14ac:dyDescent="0.25">
      <c r="A12" s="22" t="s">
        <v>140</v>
      </c>
      <c r="B12" s="313" t="s">
        <v>113</v>
      </c>
      <c r="C12" s="337" t="s">
        <v>159</v>
      </c>
      <c r="D12" s="22" t="s">
        <v>156</v>
      </c>
      <c r="E12" s="22" t="s">
        <v>158</v>
      </c>
      <c r="F12" s="22" t="s">
        <v>120</v>
      </c>
    </row>
    <row r="13" spans="1:6" x14ac:dyDescent="0.25">
      <c r="A13" s="23" t="s">
        <v>141</v>
      </c>
      <c r="B13" s="313"/>
      <c r="C13" s="338"/>
      <c r="D13" s="23" t="s">
        <v>154</v>
      </c>
      <c r="E13" s="23" t="s">
        <v>157</v>
      </c>
      <c r="F13" s="23" t="s">
        <v>153</v>
      </c>
    </row>
    <row r="14" spans="1:6" x14ac:dyDescent="0.25">
      <c r="A14" s="23">
        <v>1</v>
      </c>
      <c r="B14" s="153">
        <v>2</v>
      </c>
      <c r="C14" s="153">
        <v>3</v>
      </c>
      <c r="D14" s="153">
        <v>4</v>
      </c>
      <c r="E14" s="153">
        <v>5</v>
      </c>
      <c r="F14" s="149">
        <v>6</v>
      </c>
    </row>
    <row r="15" spans="1:6" x14ac:dyDescent="0.25">
      <c r="A15" s="23"/>
      <c r="B15" s="336" t="s">
        <v>232</v>
      </c>
      <c r="C15" s="336"/>
      <c r="D15" s="336"/>
      <c r="E15" s="336"/>
      <c r="F15" s="154">
        <f>F18</f>
        <v>2576000</v>
      </c>
    </row>
    <row r="16" spans="1:6" ht="26.4" x14ac:dyDescent="0.25">
      <c r="A16" s="141">
        <v>1</v>
      </c>
      <c r="B16" s="150" t="s">
        <v>293</v>
      </c>
      <c r="C16" s="151" t="s">
        <v>291</v>
      </c>
      <c r="D16" s="141">
        <v>12</v>
      </c>
      <c r="E16" s="152">
        <f>ROUNDUP(F16/D16,0)</f>
        <v>189667</v>
      </c>
      <c r="F16" s="12">
        <v>2276000</v>
      </c>
    </row>
    <row r="17" spans="1:6" ht="26.4" x14ac:dyDescent="0.25">
      <c r="A17" s="141">
        <v>2</v>
      </c>
      <c r="B17" s="150" t="s">
        <v>292</v>
      </c>
      <c r="C17" s="151" t="s">
        <v>291</v>
      </c>
      <c r="D17" s="141">
        <v>12</v>
      </c>
      <c r="E17" s="152">
        <f t="shared" ref="E17" si="0">F17/D17</f>
        <v>25000</v>
      </c>
      <c r="F17" s="12">
        <v>300000</v>
      </c>
    </row>
    <row r="18" spans="1:6" x14ac:dyDescent="0.25">
      <c r="A18" s="13"/>
      <c r="B18" s="13" t="s">
        <v>112</v>
      </c>
      <c r="C18" s="151"/>
      <c r="D18" s="151">
        <f>SUM(D16:D17)</f>
        <v>24</v>
      </c>
      <c r="E18" s="12">
        <f>SUM(E16:E17)</f>
        <v>214667</v>
      </c>
      <c r="F18" s="12">
        <f>SUM(F16:F17)</f>
        <v>2576000</v>
      </c>
    </row>
    <row r="19" spans="1:6" hidden="1" x14ac:dyDescent="0.25">
      <c r="A19" s="23"/>
      <c r="B19" s="336" t="s">
        <v>233</v>
      </c>
      <c r="C19" s="336"/>
      <c r="D19" s="336"/>
      <c r="E19" s="336"/>
      <c r="F19" s="154">
        <f>SUM(F20:F21)</f>
        <v>1885500</v>
      </c>
    </row>
    <row r="20" spans="1:6" ht="26.4" hidden="1" x14ac:dyDescent="0.25">
      <c r="A20" s="141">
        <v>1</v>
      </c>
      <c r="B20" s="150" t="s">
        <v>293</v>
      </c>
      <c r="C20" s="151" t="s">
        <v>291</v>
      </c>
      <c r="D20" s="141">
        <v>12</v>
      </c>
      <c r="E20" s="152">
        <f>F20/D20</f>
        <v>138375</v>
      </c>
      <c r="F20" s="12">
        <v>1660500</v>
      </c>
    </row>
    <row r="21" spans="1:6" ht="26.4" hidden="1" x14ac:dyDescent="0.25">
      <c r="A21" s="141">
        <v>2</v>
      </c>
      <c r="B21" s="150" t="s">
        <v>292</v>
      </c>
      <c r="C21" s="151" t="s">
        <v>291</v>
      </c>
      <c r="D21" s="141">
        <v>12</v>
      </c>
      <c r="E21" s="152">
        <f t="shared" ref="E21" si="1">F21/D21</f>
        <v>18750</v>
      </c>
      <c r="F21" s="12">
        <v>225000</v>
      </c>
    </row>
    <row r="22" spans="1:6" hidden="1" x14ac:dyDescent="0.25">
      <c r="A22" s="13"/>
      <c r="B22" s="336" t="s">
        <v>234</v>
      </c>
      <c r="C22" s="336"/>
      <c r="D22" s="336"/>
      <c r="E22" s="336"/>
      <c r="F22" s="154">
        <f>F19-F15</f>
        <v>-690500</v>
      </c>
    </row>
  </sheetData>
  <mergeCells count="14">
    <mergeCell ref="C1:E1"/>
    <mergeCell ref="C3:E3"/>
    <mergeCell ref="B15:E15"/>
    <mergeCell ref="B19:E19"/>
    <mergeCell ref="B22:E22"/>
    <mergeCell ref="B12:B13"/>
    <mergeCell ref="C12:C13"/>
    <mergeCell ref="A10:F10"/>
    <mergeCell ref="C2:F2"/>
    <mergeCell ref="A5:F5"/>
    <mergeCell ref="A6:F6"/>
    <mergeCell ref="A7:F7"/>
    <mergeCell ref="A8:F8"/>
    <mergeCell ref="A9:F9"/>
  </mergeCells>
  <pageMargins left="0.17" right="0.17" top="0.75" bottom="0.28999999999999998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H98"/>
  <sheetViews>
    <sheetView tabSelected="1" topLeftCell="A64" workbookViewId="0">
      <selection activeCell="E112" sqref="E112"/>
    </sheetView>
  </sheetViews>
  <sheetFormatPr defaultColWidth="9.109375" defaultRowHeight="13.2" x14ac:dyDescent="0.25"/>
  <cols>
    <col min="1" max="1" width="29.33203125" style="62" customWidth="1"/>
    <col min="2" max="2" width="9.33203125" style="62" customWidth="1"/>
    <col min="3" max="3" width="12.33203125" style="62" customWidth="1"/>
    <col min="4" max="4" width="14" style="62" customWidth="1"/>
    <col min="5" max="5" width="21.109375" style="62" customWidth="1"/>
    <col min="6" max="6" width="16.5546875" style="62" customWidth="1"/>
    <col min="7" max="7" width="14.109375" style="62" bestFit="1" customWidth="1"/>
    <col min="8" max="8" width="12" style="62" customWidth="1"/>
    <col min="9" max="9" width="9.109375" style="62"/>
    <col min="10" max="10" width="10.6640625" style="62" bestFit="1" customWidth="1"/>
    <col min="11" max="16384" width="9.109375" style="62"/>
  </cols>
  <sheetData>
    <row r="1" spans="1:8" s="72" customFormat="1" ht="15.6" x14ac:dyDescent="0.3">
      <c r="E1" s="326" t="s">
        <v>182</v>
      </c>
      <c r="F1" s="326"/>
      <c r="G1" s="326"/>
    </row>
    <row r="2" spans="1:8" s="72" customFormat="1" ht="64.5" customHeight="1" x14ac:dyDescent="0.3">
      <c r="E2" s="334" t="s">
        <v>381</v>
      </c>
      <c r="F2" s="334"/>
      <c r="G2" s="334"/>
    </row>
    <row r="3" spans="1:8" s="72" customFormat="1" ht="15.6" x14ac:dyDescent="0.3">
      <c r="E3" s="335" t="s">
        <v>238</v>
      </c>
      <c r="F3" s="335"/>
      <c r="G3" s="335"/>
    </row>
    <row r="4" spans="1:8" s="72" customFormat="1" ht="15.6" x14ac:dyDescent="0.3">
      <c r="D4" s="144"/>
    </row>
    <row r="5" spans="1:8" s="72" customFormat="1" ht="15.6" x14ac:dyDescent="0.3">
      <c r="A5" s="312" t="s">
        <v>240</v>
      </c>
      <c r="B5" s="312"/>
      <c r="C5" s="312"/>
      <c r="D5" s="312"/>
      <c r="E5" s="312"/>
      <c r="F5" s="312"/>
    </row>
    <row r="6" spans="1:8" s="72" customFormat="1" ht="15.6" x14ac:dyDescent="0.3">
      <c r="A6" s="329">
        <v>45666</v>
      </c>
      <c r="B6" s="329"/>
      <c r="C6" s="329"/>
      <c r="D6" s="329"/>
      <c r="E6" s="329"/>
      <c r="F6" s="329"/>
    </row>
    <row r="7" spans="1:8" s="72" customFormat="1" ht="15.6" x14ac:dyDescent="0.3">
      <c r="A7" s="330"/>
      <c r="B7" s="330"/>
      <c r="C7" s="330"/>
      <c r="D7" s="330"/>
      <c r="E7" s="330"/>
      <c r="F7" s="330"/>
    </row>
    <row r="8" spans="1:8" s="72" customFormat="1" ht="15.6" x14ac:dyDescent="0.3">
      <c r="A8" s="328" t="s">
        <v>132</v>
      </c>
      <c r="B8" s="328"/>
      <c r="C8" s="328"/>
      <c r="D8" s="328"/>
      <c r="E8" s="328"/>
      <c r="F8" s="328"/>
    </row>
    <row r="9" spans="1:8" s="72" customFormat="1" ht="15.6" x14ac:dyDescent="0.3">
      <c r="A9" s="312" t="s">
        <v>344</v>
      </c>
      <c r="B9" s="312"/>
      <c r="C9" s="312"/>
      <c r="D9" s="312"/>
      <c r="E9" s="312"/>
      <c r="F9" s="312"/>
      <c r="G9" s="73"/>
    </row>
    <row r="10" spans="1:8" s="72" customFormat="1" ht="15.6" x14ac:dyDescent="0.3">
      <c r="A10" s="311" t="s">
        <v>287</v>
      </c>
      <c r="B10" s="311"/>
      <c r="C10" s="311"/>
      <c r="D10" s="311"/>
      <c r="E10" s="311"/>
      <c r="F10" s="311"/>
    </row>
    <row r="11" spans="1:8" s="199" customFormat="1" ht="16.5" customHeight="1" x14ac:dyDescent="0.3"/>
    <row r="12" spans="1:8" s="25" customFormat="1" ht="13.8" x14ac:dyDescent="0.25">
      <c r="A12" s="317" t="s">
        <v>409</v>
      </c>
      <c r="B12" s="317"/>
      <c r="C12" s="317"/>
      <c r="D12" s="317"/>
    </row>
    <row r="13" spans="1:8" s="25" customFormat="1" ht="60" x14ac:dyDescent="0.25">
      <c r="A13" s="195" t="s">
        <v>345</v>
      </c>
      <c r="B13" s="195" t="s">
        <v>346</v>
      </c>
      <c r="C13" s="195" t="s">
        <v>347</v>
      </c>
      <c r="D13" s="196" t="s">
        <v>348</v>
      </c>
      <c r="E13" s="196" t="s">
        <v>349</v>
      </c>
      <c r="F13" s="195" t="s">
        <v>350</v>
      </c>
      <c r="G13" s="195" t="s">
        <v>351</v>
      </c>
      <c r="H13" s="195" t="s">
        <v>352</v>
      </c>
    </row>
    <row r="14" spans="1:8" s="25" customFormat="1" ht="13.8" x14ac:dyDescent="0.25">
      <c r="A14" s="195">
        <v>1</v>
      </c>
      <c r="B14" s="195">
        <v>2</v>
      </c>
      <c r="C14" s="195">
        <v>3</v>
      </c>
      <c r="D14" s="195">
        <v>4</v>
      </c>
      <c r="E14" s="195">
        <v>5</v>
      </c>
      <c r="F14" s="195">
        <v>6</v>
      </c>
      <c r="G14" s="195">
        <v>7</v>
      </c>
      <c r="H14" s="195">
        <v>8</v>
      </c>
    </row>
    <row r="15" spans="1:8" s="25" customFormat="1" ht="13.8" x14ac:dyDescent="0.25">
      <c r="A15" s="207" t="s">
        <v>365</v>
      </c>
      <c r="B15" s="195">
        <v>1</v>
      </c>
      <c r="C15" s="8">
        <v>73800.72</v>
      </c>
      <c r="D15" s="8"/>
      <c r="E15" s="8"/>
      <c r="F15" s="8">
        <f>ROUND(SUM(C15:E15)*0.15,2)</f>
        <v>11070.11</v>
      </c>
      <c r="G15" s="209">
        <f>SUM(C15:F15)</f>
        <v>84870.83</v>
      </c>
      <c r="H15" s="8">
        <f>G15*12</f>
        <v>1018449.96</v>
      </c>
    </row>
    <row r="16" spans="1:8" s="25" customFormat="1" ht="13.8" x14ac:dyDescent="0.25">
      <c r="A16" s="207" t="s">
        <v>208</v>
      </c>
      <c r="B16" s="195">
        <v>1</v>
      </c>
      <c r="C16" s="8">
        <v>48781</v>
      </c>
      <c r="D16" s="8">
        <v>2058.04</v>
      </c>
      <c r="E16" s="8"/>
      <c r="F16" s="8">
        <f t="shared" ref="F16:F26" si="0">ROUND(SUM(C16:E16)*0.15,2)</f>
        <v>7625.86</v>
      </c>
      <c r="G16" s="209">
        <f>SUM(C16:F16)</f>
        <v>58464.9</v>
      </c>
      <c r="H16" s="8">
        <f t="shared" ref="H16:H37" si="1">G16*12</f>
        <v>701578.8</v>
      </c>
    </row>
    <row r="17" spans="1:8" s="25" customFormat="1" ht="13.8" x14ac:dyDescent="0.25">
      <c r="A17" s="207" t="s">
        <v>366</v>
      </c>
      <c r="B17" s="195">
        <v>1</v>
      </c>
      <c r="C17" s="8">
        <v>48781</v>
      </c>
      <c r="D17" s="8">
        <v>9725.3799999999992</v>
      </c>
      <c r="E17" s="8"/>
      <c r="F17" s="8">
        <f t="shared" si="0"/>
        <v>8775.9599999999991</v>
      </c>
      <c r="G17" s="209">
        <f t="shared" ref="G17" si="2">SUM(C17:F17)</f>
        <v>67282.34</v>
      </c>
      <c r="H17" s="8">
        <f t="shared" si="1"/>
        <v>807388.08</v>
      </c>
    </row>
    <row r="18" spans="1:8" s="25" customFormat="1" ht="13.8" x14ac:dyDescent="0.25">
      <c r="A18" s="207" t="s">
        <v>410</v>
      </c>
      <c r="B18" s="195">
        <v>1</v>
      </c>
      <c r="C18" s="8">
        <v>48781</v>
      </c>
      <c r="D18" s="8"/>
      <c r="E18" s="8"/>
      <c r="F18" s="8">
        <f t="shared" si="0"/>
        <v>7317.15</v>
      </c>
      <c r="G18" s="209">
        <f t="shared" ref="G18:G26" si="3">SUM(C18:F18)</f>
        <v>56098.15</v>
      </c>
      <c r="H18" s="8">
        <f t="shared" si="1"/>
        <v>673177.8</v>
      </c>
    </row>
    <row r="19" spans="1:8" s="25" customFormat="1" ht="13.8" x14ac:dyDescent="0.25">
      <c r="A19" s="207" t="s">
        <v>368</v>
      </c>
      <c r="B19" s="195">
        <v>3</v>
      </c>
      <c r="C19" s="8">
        <v>57920</v>
      </c>
      <c r="D19" s="8">
        <v>24142</v>
      </c>
      <c r="E19" s="8">
        <v>7783</v>
      </c>
      <c r="F19" s="8">
        <f t="shared" si="0"/>
        <v>13476.75</v>
      </c>
      <c r="G19" s="209">
        <f t="shared" si="3"/>
        <v>103321.75</v>
      </c>
      <c r="H19" s="8">
        <f t="shared" si="1"/>
        <v>1239861</v>
      </c>
    </row>
    <row r="20" spans="1:8" s="25" customFormat="1" ht="13.8" x14ac:dyDescent="0.25">
      <c r="A20" s="207" t="s">
        <v>369</v>
      </c>
      <c r="B20" s="195">
        <v>1</v>
      </c>
      <c r="C20" s="8">
        <v>18100</v>
      </c>
      <c r="D20" s="8">
        <v>15000</v>
      </c>
      <c r="E20" s="8">
        <v>9164.2000000000007</v>
      </c>
      <c r="F20" s="8">
        <f t="shared" si="0"/>
        <v>6339.63</v>
      </c>
      <c r="G20" s="209">
        <f t="shared" si="3"/>
        <v>48603.829999999994</v>
      </c>
      <c r="H20" s="8">
        <f t="shared" si="1"/>
        <v>583245.96</v>
      </c>
    </row>
    <row r="21" spans="1:8" s="25" customFormat="1" ht="13.8" x14ac:dyDescent="0.25">
      <c r="A21" s="207" t="s">
        <v>367</v>
      </c>
      <c r="B21" s="195">
        <v>30.23</v>
      </c>
      <c r="C21" s="8">
        <v>719232.5</v>
      </c>
      <c r="D21" s="8">
        <v>273050</v>
      </c>
      <c r="E21" s="8">
        <v>7793.01</v>
      </c>
      <c r="F21" s="8">
        <f t="shared" si="0"/>
        <v>150011.32999999999</v>
      </c>
      <c r="G21" s="209">
        <f t="shared" si="3"/>
        <v>1150086.8400000001</v>
      </c>
      <c r="H21" s="8">
        <f t="shared" si="1"/>
        <v>13801042.080000002</v>
      </c>
    </row>
    <row r="22" spans="1:8" s="25" customFormat="1" ht="15" customHeight="1" x14ac:dyDescent="0.25">
      <c r="A22" s="207" t="s">
        <v>370</v>
      </c>
      <c r="B22" s="195">
        <v>2</v>
      </c>
      <c r="C22" s="8">
        <v>62156.25</v>
      </c>
      <c r="D22" s="8">
        <v>22500</v>
      </c>
      <c r="E22" s="8"/>
      <c r="F22" s="8">
        <f t="shared" si="0"/>
        <v>12698.44</v>
      </c>
      <c r="G22" s="209">
        <f t="shared" si="3"/>
        <v>97354.69</v>
      </c>
      <c r="H22" s="8">
        <f t="shared" si="1"/>
        <v>1168256.28</v>
      </c>
    </row>
    <row r="23" spans="1:8" s="25" customFormat="1" ht="24" x14ac:dyDescent="0.25">
      <c r="A23" s="207" t="s">
        <v>411</v>
      </c>
      <c r="B23" s="195"/>
      <c r="C23" s="8"/>
      <c r="D23" s="8">
        <v>101014.83</v>
      </c>
      <c r="E23" s="8"/>
      <c r="F23" s="8">
        <f t="shared" si="0"/>
        <v>15152.22</v>
      </c>
      <c r="G23" s="209">
        <f t="shared" si="3"/>
        <v>116167.05</v>
      </c>
      <c r="H23" s="8">
        <f t="shared" si="1"/>
        <v>1394004.6</v>
      </c>
    </row>
    <row r="24" spans="1:8" s="25" customFormat="1" ht="13.8" x14ac:dyDescent="0.25">
      <c r="A24" s="207" t="s">
        <v>354</v>
      </c>
      <c r="B24" s="195">
        <v>2</v>
      </c>
      <c r="C24" s="8">
        <v>42447</v>
      </c>
      <c r="D24" s="8">
        <f>5082+19942.1-12734.1</f>
        <v>12289.999999999998</v>
      </c>
      <c r="E24" s="8">
        <v>12734.1</v>
      </c>
      <c r="F24" s="8">
        <f t="shared" si="0"/>
        <v>10120.67</v>
      </c>
      <c r="G24" s="209">
        <f t="shared" si="3"/>
        <v>77591.77</v>
      </c>
      <c r="H24" s="8">
        <f t="shared" si="1"/>
        <v>931101.24</v>
      </c>
    </row>
    <row r="25" spans="1:8" s="25" customFormat="1" ht="13.8" x14ac:dyDescent="0.25">
      <c r="A25" s="207" t="s">
        <v>355</v>
      </c>
      <c r="B25" s="195"/>
      <c r="C25" s="8"/>
      <c r="D25" s="8">
        <v>12734.1</v>
      </c>
      <c r="E25" s="8"/>
      <c r="F25" s="8">
        <f t="shared" si="0"/>
        <v>1910.12</v>
      </c>
      <c r="G25" s="209">
        <f t="shared" si="3"/>
        <v>14644.220000000001</v>
      </c>
      <c r="H25" s="8">
        <f t="shared" si="1"/>
        <v>175730.64</v>
      </c>
    </row>
    <row r="26" spans="1:8" s="25" customFormat="1" ht="13.8" x14ac:dyDescent="0.25">
      <c r="A26" s="207" t="s">
        <v>372</v>
      </c>
      <c r="B26" s="195">
        <v>1</v>
      </c>
      <c r="C26" s="8">
        <v>21082</v>
      </c>
      <c r="D26" s="8">
        <v>3061.77</v>
      </c>
      <c r="E26" s="8"/>
      <c r="F26" s="8">
        <f t="shared" si="0"/>
        <v>3621.57</v>
      </c>
      <c r="G26" s="209">
        <f t="shared" si="3"/>
        <v>27765.34</v>
      </c>
      <c r="H26" s="8">
        <f t="shared" si="1"/>
        <v>333184.08</v>
      </c>
    </row>
    <row r="27" spans="1:8" s="25" customFormat="1" ht="13.8" x14ac:dyDescent="0.25">
      <c r="A27" s="207" t="s">
        <v>380</v>
      </c>
      <c r="B27" s="195">
        <v>1</v>
      </c>
      <c r="C27" s="8">
        <v>21082</v>
      </c>
      <c r="D27" s="8">
        <v>3010.7</v>
      </c>
      <c r="E27" s="8">
        <v>6324.6</v>
      </c>
      <c r="F27" s="8">
        <f t="shared" ref="F27" si="4">ROUND(SUM(C27:E27)*0.15,2)</f>
        <v>4562.6000000000004</v>
      </c>
      <c r="G27" s="209">
        <f t="shared" ref="G27" si="5">SUM(C27:F27)</f>
        <v>34979.9</v>
      </c>
      <c r="H27" s="8">
        <f t="shared" si="1"/>
        <v>419758.80000000005</v>
      </c>
    </row>
    <row r="28" spans="1:8" s="25" customFormat="1" ht="13.8" x14ac:dyDescent="0.25">
      <c r="A28" s="207" t="s">
        <v>373</v>
      </c>
      <c r="B28" s="195">
        <v>1</v>
      </c>
      <c r="C28" s="8">
        <v>16940</v>
      </c>
      <c r="D28" s="8">
        <v>4825</v>
      </c>
      <c r="E28" s="8"/>
      <c r="F28" s="8">
        <f>ROUND(SUM(C28:E28)*0.15,2)</f>
        <v>3264.75</v>
      </c>
      <c r="G28" s="209">
        <f t="shared" ref="G28:G36" si="6">SUM(C28:F28)</f>
        <v>25029.75</v>
      </c>
      <c r="H28" s="8">
        <f t="shared" si="1"/>
        <v>300357</v>
      </c>
    </row>
    <row r="29" spans="1:8" s="25" customFormat="1" ht="13.8" x14ac:dyDescent="0.25">
      <c r="A29" s="207" t="s">
        <v>374</v>
      </c>
      <c r="B29" s="195">
        <v>0.5</v>
      </c>
      <c r="C29" s="8">
        <v>8470</v>
      </c>
      <c r="D29" s="8">
        <v>2412.5</v>
      </c>
      <c r="E29" s="8"/>
      <c r="F29" s="8">
        <f>ROUND(SUM(C29:E29)*0.15,2)</f>
        <v>1632.38</v>
      </c>
      <c r="G29" s="209">
        <f t="shared" si="6"/>
        <v>12514.880000000001</v>
      </c>
      <c r="H29" s="8">
        <f t="shared" si="1"/>
        <v>150178.56</v>
      </c>
    </row>
    <row r="30" spans="1:8" s="25" customFormat="1" ht="13.8" x14ac:dyDescent="0.25">
      <c r="A30" s="207" t="s">
        <v>375</v>
      </c>
      <c r="B30" s="195">
        <v>1</v>
      </c>
      <c r="C30" s="8">
        <v>16940</v>
      </c>
      <c r="D30" s="8">
        <v>4825</v>
      </c>
      <c r="E30" s="8"/>
      <c r="F30" s="8">
        <f>ROUND(SUM(C30:E30)*0.15,2)+0.01</f>
        <v>3264.76</v>
      </c>
      <c r="G30" s="209">
        <f t="shared" si="6"/>
        <v>25029.760000000002</v>
      </c>
      <c r="H30" s="8">
        <f t="shared" si="1"/>
        <v>300357.12</v>
      </c>
    </row>
    <row r="31" spans="1:8" s="25" customFormat="1" ht="13.8" x14ac:dyDescent="0.25">
      <c r="A31" s="207" t="s">
        <v>376</v>
      </c>
      <c r="B31" s="195">
        <v>1</v>
      </c>
      <c r="C31" s="8">
        <v>16940</v>
      </c>
      <c r="D31" s="8">
        <v>4825</v>
      </c>
      <c r="E31" s="8"/>
      <c r="F31" s="8">
        <f>ROUND(SUM(C31:E31)*0.15,2)</f>
        <v>3264.75</v>
      </c>
      <c r="G31" s="209">
        <f t="shared" si="6"/>
        <v>25029.75</v>
      </c>
      <c r="H31" s="8">
        <f t="shared" si="1"/>
        <v>300357</v>
      </c>
    </row>
    <row r="32" spans="1:8" s="25" customFormat="1" ht="13.8" x14ac:dyDescent="0.25">
      <c r="A32" s="207" t="s">
        <v>377</v>
      </c>
      <c r="B32" s="195">
        <v>2</v>
      </c>
      <c r="C32" s="8">
        <v>33138</v>
      </c>
      <c r="D32" s="8">
        <v>5346</v>
      </c>
      <c r="E32" s="8"/>
      <c r="F32" s="8">
        <f>ROUND(SUM(C32:E32)*0.15,2)</f>
        <v>5772.6</v>
      </c>
      <c r="G32" s="209">
        <f t="shared" si="6"/>
        <v>44256.6</v>
      </c>
      <c r="H32" s="8">
        <f t="shared" si="1"/>
        <v>531079.19999999995</v>
      </c>
    </row>
    <row r="33" spans="1:8" s="25" customFormat="1" ht="13.8" x14ac:dyDescent="0.25">
      <c r="A33" s="207" t="s">
        <v>353</v>
      </c>
      <c r="B33" s="195">
        <v>4</v>
      </c>
      <c r="C33" s="8">
        <v>62344</v>
      </c>
      <c r="D33" s="8">
        <v>14624</v>
      </c>
      <c r="E33" s="8">
        <v>6234.4</v>
      </c>
      <c r="F33" s="8">
        <f>ROUND(SUM(C33:E33)*0.15,2)+0.01</f>
        <v>12480.37</v>
      </c>
      <c r="G33" s="209">
        <f t="shared" si="6"/>
        <v>95682.76999999999</v>
      </c>
      <c r="H33" s="8">
        <f t="shared" si="1"/>
        <v>1148193.2399999998</v>
      </c>
    </row>
    <row r="34" spans="1:8" x14ac:dyDescent="0.25">
      <c r="A34" s="181" t="s">
        <v>378</v>
      </c>
      <c r="B34" s="182">
        <v>3</v>
      </c>
      <c r="C34" s="152">
        <v>46758</v>
      </c>
      <c r="D34" s="152">
        <v>10968</v>
      </c>
      <c r="E34" s="152"/>
      <c r="F34" s="8">
        <f>ROUND(SUM(C34:E34)*0.15,2)</f>
        <v>8658.9</v>
      </c>
      <c r="G34" s="209">
        <f t="shared" si="6"/>
        <v>66384.899999999994</v>
      </c>
      <c r="H34" s="8">
        <f t="shared" si="1"/>
        <v>796618.79999999993</v>
      </c>
    </row>
    <row r="35" spans="1:8" s="25" customFormat="1" ht="13.8" x14ac:dyDescent="0.25">
      <c r="A35" s="207" t="s">
        <v>379</v>
      </c>
      <c r="B35" s="195">
        <v>2</v>
      </c>
      <c r="C35" s="8">
        <v>31172</v>
      </c>
      <c r="D35" s="8">
        <v>7312</v>
      </c>
      <c r="E35" s="8"/>
      <c r="F35" s="8">
        <f t="shared" ref="F35" si="7">ROUND(SUM(C35:E35)*0.15,2)</f>
        <v>5772.6</v>
      </c>
      <c r="G35" s="209">
        <f t="shared" si="6"/>
        <v>44256.6</v>
      </c>
      <c r="H35" s="8">
        <f t="shared" si="1"/>
        <v>531079.19999999995</v>
      </c>
    </row>
    <row r="36" spans="1:8" s="25" customFormat="1" ht="13.8" x14ac:dyDescent="0.25">
      <c r="A36" s="207" t="s">
        <v>371</v>
      </c>
      <c r="B36" s="195">
        <v>3</v>
      </c>
      <c r="C36" s="8">
        <v>46758</v>
      </c>
      <c r="D36" s="8">
        <v>18866.5</v>
      </c>
      <c r="E36" s="8"/>
      <c r="F36" s="8">
        <f>ROUND(SUM(C36:E36)*0.15,2)</f>
        <v>9843.68</v>
      </c>
      <c r="G36" s="209">
        <f t="shared" si="6"/>
        <v>75468.179999999993</v>
      </c>
      <c r="H36" s="8">
        <f t="shared" si="1"/>
        <v>905618.15999999992</v>
      </c>
    </row>
    <row r="37" spans="1:8" s="25" customFormat="1" ht="13.8" x14ac:dyDescent="0.25">
      <c r="A37" s="7" t="s">
        <v>112</v>
      </c>
      <c r="B37" s="14">
        <f>SUM(B15:B36)</f>
        <v>61.730000000000004</v>
      </c>
      <c r="C37" s="8">
        <f>SUM(C15:C36)</f>
        <v>1441623.47</v>
      </c>
      <c r="D37" s="8">
        <f>SUM(D15:D36)</f>
        <v>552590.82000000007</v>
      </c>
      <c r="E37" s="8">
        <f>SUM(E15:E36)</f>
        <v>50033.31</v>
      </c>
      <c r="F37" s="8">
        <f>SUM(F15:F36)</f>
        <v>306637.2</v>
      </c>
      <c r="G37" s="8">
        <f>SUM(G15:G36)-0.02</f>
        <v>2350884.7800000003</v>
      </c>
      <c r="H37" s="8">
        <f t="shared" si="1"/>
        <v>28210617.360000003</v>
      </c>
    </row>
    <row r="38" spans="1:8" s="25" customFormat="1" ht="13.8" x14ac:dyDescent="0.25">
      <c r="B38" s="169"/>
      <c r="C38" s="169"/>
      <c r="D38" s="169"/>
      <c r="E38" s="169"/>
      <c r="F38" s="169"/>
      <c r="G38" s="169"/>
      <c r="H38" s="169"/>
    </row>
    <row r="39" spans="1:8" s="25" customFormat="1" ht="15" customHeight="1" x14ac:dyDescent="0.25">
      <c r="A39" s="317" t="s">
        <v>356</v>
      </c>
      <c r="B39" s="317"/>
      <c r="C39" s="317"/>
      <c r="D39" s="317"/>
      <c r="E39" s="170"/>
      <c r="F39" s="170"/>
      <c r="G39" s="170"/>
      <c r="H39" s="170"/>
    </row>
    <row r="40" spans="1:8" s="25" customFormat="1" ht="60" x14ac:dyDescent="0.25">
      <c r="A40" s="195" t="s">
        <v>345</v>
      </c>
      <c r="B40" s="195" t="s">
        <v>346</v>
      </c>
      <c r="C40" s="195" t="s">
        <v>347</v>
      </c>
      <c r="D40" s="196" t="s">
        <v>348</v>
      </c>
      <c r="E40" s="196" t="s">
        <v>349</v>
      </c>
      <c r="F40" s="195" t="s">
        <v>350</v>
      </c>
      <c r="G40" s="195" t="s">
        <v>351</v>
      </c>
      <c r="H40" s="195" t="s">
        <v>352</v>
      </c>
    </row>
    <row r="41" spans="1:8" s="25" customFormat="1" ht="13.8" x14ac:dyDescent="0.25">
      <c r="A41" s="195">
        <v>1</v>
      </c>
      <c r="B41" s="195">
        <v>2</v>
      </c>
      <c r="C41" s="20">
        <v>3</v>
      </c>
      <c r="D41" s="20">
        <v>4</v>
      </c>
      <c r="E41" s="20">
        <v>5</v>
      </c>
      <c r="F41" s="195">
        <v>6</v>
      </c>
      <c r="G41" s="195">
        <v>7</v>
      </c>
      <c r="H41" s="195">
        <v>8</v>
      </c>
    </row>
    <row r="42" spans="1:8" s="25" customFormat="1" ht="13.8" x14ac:dyDescent="0.25">
      <c r="A42" s="207" t="s">
        <v>373</v>
      </c>
      <c r="B42" s="195">
        <v>1</v>
      </c>
      <c r="C42" s="171"/>
      <c r="D42" s="171">
        <f>5500-D28</f>
        <v>675</v>
      </c>
      <c r="E42" s="171"/>
      <c r="F42" s="8">
        <f t="shared" ref="F42:F49" si="8">ROUND(SUM(C42:E42)*0.15,2)</f>
        <v>101.25</v>
      </c>
      <c r="G42" s="8">
        <f t="shared" ref="G42:G49" si="9">SUM(C42:F42)</f>
        <v>776.25</v>
      </c>
      <c r="H42" s="8">
        <f t="shared" ref="H42:H49" si="10">G42*12</f>
        <v>9315</v>
      </c>
    </row>
    <row r="43" spans="1:8" s="25" customFormat="1" ht="13.8" x14ac:dyDescent="0.25">
      <c r="A43" s="207" t="s">
        <v>374</v>
      </c>
      <c r="B43" s="195">
        <v>0.5</v>
      </c>
      <c r="C43" s="171"/>
      <c r="D43" s="171">
        <f>2750-D29</f>
        <v>337.5</v>
      </c>
      <c r="E43" s="171"/>
      <c r="F43" s="8">
        <f>ROUND(SUM(C43:E43)*0.15,2)-0.01</f>
        <v>50.620000000000005</v>
      </c>
      <c r="G43" s="8">
        <f t="shared" si="9"/>
        <v>388.12</v>
      </c>
      <c r="H43" s="8">
        <f t="shared" si="10"/>
        <v>4657.4400000000005</v>
      </c>
    </row>
    <row r="44" spans="1:8" s="25" customFormat="1" ht="13.8" x14ac:dyDescent="0.25">
      <c r="A44" s="207" t="s">
        <v>375</v>
      </c>
      <c r="B44" s="195">
        <v>1</v>
      </c>
      <c r="C44" s="171"/>
      <c r="D44" s="171">
        <f>5500-D30</f>
        <v>675</v>
      </c>
      <c r="E44" s="171"/>
      <c r="F44" s="8">
        <f>ROUND(SUM(C44:E44)*0.15,2)-0.01</f>
        <v>101.24</v>
      </c>
      <c r="G44" s="8">
        <f t="shared" si="9"/>
        <v>776.24</v>
      </c>
      <c r="H44" s="8">
        <f t="shared" si="10"/>
        <v>9314.880000000001</v>
      </c>
    </row>
    <row r="45" spans="1:8" s="25" customFormat="1" ht="13.8" x14ac:dyDescent="0.25">
      <c r="A45" s="207" t="s">
        <v>376</v>
      </c>
      <c r="B45" s="195">
        <v>1</v>
      </c>
      <c r="C45" s="171"/>
      <c r="D45" s="171">
        <f>5500-D31</f>
        <v>675</v>
      </c>
      <c r="E45" s="171"/>
      <c r="F45" s="8">
        <f>ROUND(SUM(C45:E45)*0.15,2)</f>
        <v>101.25</v>
      </c>
      <c r="G45" s="8">
        <f t="shared" si="9"/>
        <v>776.25</v>
      </c>
      <c r="H45" s="8">
        <f t="shared" si="10"/>
        <v>9315</v>
      </c>
    </row>
    <row r="46" spans="1:8" s="25" customFormat="1" ht="13.8" x14ac:dyDescent="0.25">
      <c r="A46" s="207" t="s">
        <v>377</v>
      </c>
      <c r="B46" s="195">
        <v>2</v>
      </c>
      <c r="C46" s="171"/>
      <c r="D46" s="171">
        <v>6396</v>
      </c>
      <c r="E46" s="171"/>
      <c r="F46" s="8">
        <f t="shared" si="8"/>
        <v>959.4</v>
      </c>
      <c r="G46" s="8">
        <f t="shared" si="9"/>
        <v>7355.4</v>
      </c>
      <c r="H46" s="8">
        <f t="shared" si="10"/>
        <v>88264.799999999988</v>
      </c>
    </row>
    <row r="47" spans="1:8" s="25" customFormat="1" ht="13.8" x14ac:dyDescent="0.25">
      <c r="A47" s="181" t="s">
        <v>378</v>
      </c>
      <c r="B47" s="182">
        <v>3</v>
      </c>
      <c r="C47" s="171"/>
      <c r="D47" s="171">
        <v>9594</v>
      </c>
      <c r="E47" s="171"/>
      <c r="F47" s="8">
        <f t="shared" si="8"/>
        <v>1439.1</v>
      </c>
      <c r="G47" s="8">
        <f t="shared" si="9"/>
        <v>11033.1</v>
      </c>
      <c r="H47" s="8">
        <f t="shared" si="10"/>
        <v>132397.20000000001</v>
      </c>
    </row>
    <row r="48" spans="1:8" s="25" customFormat="1" ht="13.8" x14ac:dyDescent="0.25">
      <c r="A48" s="207" t="s">
        <v>353</v>
      </c>
      <c r="B48" s="195">
        <v>4</v>
      </c>
      <c r="C48" s="171"/>
      <c r="D48" s="171">
        <v>12792</v>
      </c>
      <c r="E48" s="171"/>
      <c r="F48" s="8">
        <f t="shared" si="8"/>
        <v>1918.8</v>
      </c>
      <c r="G48" s="8">
        <f t="shared" si="9"/>
        <v>14710.8</v>
      </c>
      <c r="H48" s="8">
        <f t="shared" si="10"/>
        <v>176529.59999999998</v>
      </c>
    </row>
    <row r="49" spans="1:8" s="25" customFormat="1" ht="13.8" x14ac:dyDescent="0.25">
      <c r="A49" s="207" t="s">
        <v>379</v>
      </c>
      <c r="B49" s="195">
        <v>2</v>
      </c>
      <c r="C49" s="171"/>
      <c r="D49" s="171">
        <v>6396</v>
      </c>
      <c r="E49" s="171"/>
      <c r="F49" s="8">
        <f t="shared" si="8"/>
        <v>959.4</v>
      </c>
      <c r="G49" s="8">
        <f t="shared" si="9"/>
        <v>7355.4</v>
      </c>
      <c r="H49" s="8">
        <f t="shared" si="10"/>
        <v>88264.799999999988</v>
      </c>
    </row>
    <row r="50" spans="1:8" s="25" customFormat="1" ht="13.8" x14ac:dyDescent="0.25">
      <c r="A50" s="7" t="s">
        <v>357</v>
      </c>
      <c r="B50" s="195">
        <f t="shared" ref="B50:H50" si="11">SUM(B42:B49)</f>
        <v>14.5</v>
      </c>
      <c r="C50" s="8">
        <f t="shared" si="11"/>
        <v>0</v>
      </c>
      <c r="D50" s="8">
        <f t="shared" si="11"/>
        <v>37540.5</v>
      </c>
      <c r="E50" s="8">
        <f t="shared" si="11"/>
        <v>0</v>
      </c>
      <c r="F50" s="8">
        <f t="shared" si="11"/>
        <v>5631.0599999999995</v>
      </c>
      <c r="G50" s="8">
        <f t="shared" si="11"/>
        <v>43171.560000000005</v>
      </c>
      <c r="H50" s="8">
        <f t="shared" si="11"/>
        <v>518058.72</v>
      </c>
    </row>
    <row r="51" spans="1:8" s="25" customFormat="1" ht="13.8" x14ac:dyDescent="0.25">
      <c r="A51" s="178"/>
      <c r="B51" s="179"/>
      <c r="C51" s="180"/>
      <c r="D51" s="180"/>
      <c r="E51" s="180"/>
      <c r="F51" s="180"/>
      <c r="G51" s="180"/>
      <c r="H51" s="180"/>
    </row>
    <row r="52" spans="1:8" s="25" customFormat="1" ht="13.8" x14ac:dyDescent="0.25">
      <c r="A52" s="317" t="s">
        <v>412</v>
      </c>
      <c r="B52" s="317"/>
      <c r="C52" s="317"/>
      <c r="D52" s="317"/>
    </row>
    <row r="53" spans="1:8" s="25" customFormat="1" ht="60" x14ac:dyDescent="0.25">
      <c r="A53" s="195" t="s">
        <v>345</v>
      </c>
      <c r="B53" s="195" t="s">
        <v>346</v>
      </c>
      <c r="C53" s="195" t="s">
        <v>347</v>
      </c>
      <c r="D53" s="196" t="s">
        <v>348</v>
      </c>
      <c r="E53" s="196" t="s">
        <v>349</v>
      </c>
      <c r="F53" s="195" t="s">
        <v>350</v>
      </c>
      <c r="G53" s="195" t="s">
        <v>351</v>
      </c>
      <c r="H53" s="195" t="s">
        <v>352</v>
      </c>
    </row>
    <row r="54" spans="1:8" s="25" customFormat="1" ht="13.8" x14ac:dyDescent="0.25">
      <c r="A54" s="195">
        <v>1</v>
      </c>
      <c r="B54" s="195">
        <v>2</v>
      </c>
      <c r="C54" s="20">
        <v>3</v>
      </c>
      <c r="D54" s="20">
        <v>4</v>
      </c>
      <c r="E54" s="20">
        <v>5</v>
      </c>
      <c r="F54" s="195">
        <v>6</v>
      </c>
      <c r="G54" s="195">
        <v>7</v>
      </c>
      <c r="H54" s="195">
        <v>8</v>
      </c>
    </row>
    <row r="55" spans="1:8" s="25" customFormat="1" ht="13.8" x14ac:dyDescent="0.25">
      <c r="A55" s="207" t="s">
        <v>354</v>
      </c>
      <c r="B55" s="195">
        <v>2</v>
      </c>
      <c r="C55" s="8"/>
      <c r="D55" s="8">
        <f>7652.1+2788+4420-D24</f>
        <v>2570.1000000000022</v>
      </c>
      <c r="E55" s="8"/>
      <c r="F55" s="8">
        <f>ROUND(SUM(C55:E55)*0.15,2)</f>
        <v>385.52</v>
      </c>
      <c r="G55" s="209">
        <f>SUM(C55:F55)</f>
        <v>2955.6200000000022</v>
      </c>
      <c r="H55" s="8">
        <f>G55*12</f>
        <v>35467.440000000024</v>
      </c>
    </row>
    <row r="56" spans="1:8" s="25" customFormat="1" ht="13.8" x14ac:dyDescent="0.25">
      <c r="A56" s="207" t="s">
        <v>371</v>
      </c>
      <c r="B56" s="195">
        <v>3</v>
      </c>
      <c r="C56" s="8"/>
      <c r="D56" s="8">
        <v>2628</v>
      </c>
      <c r="E56" s="8"/>
      <c r="F56" s="8">
        <f>ROUND(SUM(C56:E56)*0.15,2)</f>
        <v>394.2</v>
      </c>
      <c r="G56" s="209">
        <f>SUM(C56:F56)</f>
        <v>3022.2</v>
      </c>
      <c r="H56" s="8">
        <f>G56*12</f>
        <v>36266.399999999994</v>
      </c>
    </row>
    <row r="57" spans="1:8" s="25" customFormat="1" ht="13.8" x14ac:dyDescent="0.25">
      <c r="A57" s="7" t="s">
        <v>357</v>
      </c>
      <c r="B57" s="195">
        <f>SUM(B55:B56)</f>
        <v>5</v>
      </c>
      <c r="C57" s="8">
        <f t="shared" ref="C57:H57" si="12">SUM(C55:C56)</f>
        <v>0</v>
      </c>
      <c r="D57" s="8">
        <f t="shared" si="12"/>
        <v>5198.1000000000022</v>
      </c>
      <c r="E57" s="8">
        <f t="shared" si="12"/>
        <v>0</v>
      </c>
      <c r="F57" s="8">
        <f t="shared" si="12"/>
        <v>779.72</v>
      </c>
      <c r="G57" s="8">
        <f t="shared" si="12"/>
        <v>5977.8200000000015</v>
      </c>
      <c r="H57" s="8">
        <f t="shared" si="12"/>
        <v>71733.840000000026</v>
      </c>
    </row>
    <row r="58" spans="1:8" s="25" customFormat="1" ht="13.8" x14ac:dyDescent="0.25"/>
    <row r="59" spans="1:8" s="25" customFormat="1" ht="15" customHeight="1" x14ac:dyDescent="0.25">
      <c r="A59" s="317" t="s">
        <v>358</v>
      </c>
      <c r="B59" s="317"/>
      <c r="C59" s="317"/>
      <c r="D59" s="317"/>
      <c r="E59" s="170"/>
      <c r="F59" s="170"/>
      <c r="G59" s="170"/>
      <c r="H59" s="170"/>
    </row>
    <row r="60" spans="1:8" s="25" customFormat="1" ht="60" x14ac:dyDescent="0.25">
      <c r="A60" s="195" t="s">
        <v>345</v>
      </c>
      <c r="B60" s="195" t="s">
        <v>346</v>
      </c>
      <c r="C60" s="195" t="s">
        <v>347</v>
      </c>
      <c r="D60" s="196" t="s">
        <v>348</v>
      </c>
      <c r="E60" s="196" t="s">
        <v>349</v>
      </c>
      <c r="F60" s="195" t="s">
        <v>350</v>
      </c>
      <c r="G60" s="195" t="s">
        <v>351</v>
      </c>
      <c r="H60" s="195" t="s">
        <v>352</v>
      </c>
    </row>
    <row r="61" spans="1:8" s="25" customFormat="1" ht="13.8" x14ac:dyDescent="0.25">
      <c r="A61" s="195">
        <v>1</v>
      </c>
      <c r="B61" s="195">
        <v>2</v>
      </c>
      <c r="C61" s="195">
        <v>3</v>
      </c>
      <c r="D61" s="195">
        <v>4</v>
      </c>
      <c r="E61" s="195">
        <v>5</v>
      </c>
      <c r="F61" s="195">
        <v>6</v>
      </c>
      <c r="G61" s="195">
        <v>7</v>
      </c>
      <c r="H61" s="195">
        <v>8</v>
      </c>
    </row>
    <row r="62" spans="1:8" s="173" customFormat="1" ht="13.8" x14ac:dyDescent="0.25">
      <c r="A62" s="172" t="s">
        <v>365</v>
      </c>
      <c r="B62" s="20">
        <v>1</v>
      </c>
      <c r="C62" s="171">
        <v>3321.2799999999988</v>
      </c>
      <c r="D62" s="171"/>
      <c r="E62" s="171"/>
      <c r="F62" s="171">
        <f t="shared" ref="F62:F73" si="13">ROUND(SUM(C62:E62)*0.15,2)</f>
        <v>498.19</v>
      </c>
      <c r="G62" s="171">
        <f t="shared" ref="G62:G73" si="14">SUM(C62:F62)</f>
        <v>3819.4699999999989</v>
      </c>
      <c r="H62" s="171">
        <f>G62*3</f>
        <v>11458.409999999996</v>
      </c>
    </row>
    <row r="63" spans="1:8" s="173" customFormat="1" ht="13.8" x14ac:dyDescent="0.25">
      <c r="A63" s="172" t="s">
        <v>208</v>
      </c>
      <c r="B63" s="20">
        <v>1</v>
      </c>
      <c r="C63" s="171">
        <v>2196</v>
      </c>
      <c r="D63" s="171"/>
      <c r="E63" s="171"/>
      <c r="F63" s="171">
        <f t="shared" si="13"/>
        <v>329.4</v>
      </c>
      <c r="G63" s="171">
        <f t="shared" si="14"/>
        <v>2525.4</v>
      </c>
      <c r="H63" s="171">
        <f t="shared" ref="H63:H73" si="15">G63*3</f>
        <v>7576.2000000000007</v>
      </c>
    </row>
    <row r="64" spans="1:8" s="173" customFormat="1" ht="13.8" x14ac:dyDescent="0.25">
      <c r="A64" s="172" t="s">
        <v>366</v>
      </c>
      <c r="B64" s="20">
        <v>1</v>
      </c>
      <c r="C64" s="171">
        <v>2196</v>
      </c>
      <c r="D64" s="171"/>
      <c r="E64" s="171"/>
      <c r="F64" s="171">
        <f t="shared" si="13"/>
        <v>329.4</v>
      </c>
      <c r="G64" s="171">
        <f t="shared" si="14"/>
        <v>2525.4</v>
      </c>
      <c r="H64" s="171">
        <f t="shared" si="15"/>
        <v>7576.2000000000007</v>
      </c>
    </row>
    <row r="65" spans="1:8" s="173" customFormat="1" ht="13.8" x14ac:dyDescent="0.25">
      <c r="A65" s="207" t="s">
        <v>410</v>
      </c>
      <c r="B65" s="20">
        <v>1</v>
      </c>
      <c r="C65" s="171">
        <v>2196</v>
      </c>
      <c r="D65" s="171"/>
      <c r="E65" s="171"/>
      <c r="F65" s="171">
        <f t="shared" si="13"/>
        <v>329.4</v>
      </c>
      <c r="G65" s="171">
        <f t="shared" si="14"/>
        <v>2525.4</v>
      </c>
      <c r="H65" s="171">
        <f t="shared" si="15"/>
        <v>7576.2000000000007</v>
      </c>
    </row>
    <row r="66" spans="1:8" s="173" customFormat="1" ht="13.8" x14ac:dyDescent="0.25">
      <c r="A66" s="172" t="s">
        <v>371</v>
      </c>
      <c r="B66" s="20">
        <v>3</v>
      </c>
      <c r="C66" s="171">
        <v>2105</v>
      </c>
      <c r="D66" s="171"/>
      <c r="E66" s="171"/>
      <c r="F66" s="171">
        <f t="shared" si="13"/>
        <v>315.75</v>
      </c>
      <c r="G66" s="171">
        <f t="shared" si="14"/>
        <v>2420.75</v>
      </c>
      <c r="H66" s="171">
        <f t="shared" si="15"/>
        <v>7262.25</v>
      </c>
    </row>
    <row r="67" spans="1:8" s="173" customFormat="1" ht="13.8" x14ac:dyDescent="0.25">
      <c r="A67" s="172" t="s">
        <v>372</v>
      </c>
      <c r="B67" s="20">
        <v>1</v>
      </c>
      <c r="C67" s="171">
        <v>949</v>
      </c>
      <c r="D67" s="171"/>
      <c r="E67" s="171"/>
      <c r="F67" s="171">
        <f t="shared" si="13"/>
        <v>142.35</v>
      </c>
      <c r="G67" s="171">
        <f t="shared" si="14"/>
        <v>1091.3499999999999</v>
      </c>
      <c r="H67" s="171">
        <f t="shared" si="15"/>
        <v>3274.0499999999997</v>
      </c>
    </row>
    <row r="68" spans="1:8" s="173" customFormat="1" ht="13.8" x14ac:dyDescent="0.25">
      <c r="A68" s="172" t="s">
        <v>380</v>
      </c>
      <c r="B68" s="20">
        <v>1</v>
      </c>
      <c r="C68" s="171">
        <v>949</v>
      </c>
      <c r="D68" s="171"/>
      <c r="E68" s="171"/>
      <c r="F68" s="171">
        <f t="shared" si="13"/>
        <v>142.35</v>
      </c>
      <c r="G68" s="171">
        <f t="shared" si="14"/>
        <v>1091.3499999999999</v>
      </c>
      <c r="H68" s="171">
        <f t="shared" si="15"/>
        <v>3274.0499999999997</v>
      </c>
    </row>
    <row r="69" spans="1:8" s="173" customFormat="1" ht="13.8" x14ac:dyDescent="0.25">
      <c r="A69" s="207" t="s">
        <v>373</v>
      </c>
      <c r="B69" s="195">
        <v>1</v>
      </c>
      <c r="C69" s="171">
        <v>763</v>
      </c>
      <c r="D69" s="171"/>
      <c r="E69" s="171"/>
      <c r="F69" s="171">
        <f t="shared" si="13"/>
        <v>114.45</v>
      </c>
      <c r="G69" s="171">
        <f t="shared" si="14"/>
        <v>877.45</v>
      </c>
      <c r="H69" s="171">
        <f t="shared" si="15"/>
        <v>2632.3500000000004</v>
      </c>
    </row>
    <row r="70" spans="1:8" s="173" customFormat="1" ht="13.8" x14ac:dyDescent="0.25">
      <c r="A70" s="207" t="s">
        <v>374</v>
      </c>
      <c r="B70" s="195">
        <v>0.5</v>
      </c>
      <c r="C70" s="171">
        <v>382</v>
      </c>
      <c r="D70" s="171"/>
      <c r="E70" s="171"/>
      <c r="F70" s="171">
        <f t="shared" si="13"/>
        <v>57.3</v>
      </c>
      <c r="G70" s="171">
        <f t="shared" si="14"/>
        <v>439.3</v>
      </c>
      <c r="H70" s="171">
        <f t="shared" si="15"/>
        <v>1317.9</v>
      </c>
    </row>
    <row r="71" spans="1:8" s="173" customFormat="1" ht="13.8" x14ac:dyDescent="0.25">
      <c r="A71" s="207" t="s">
        <v>375</v>
      </c>
      <c r="B71" s="195">
        <v>1</v>
      </c>
      <c r="C71" s="171">
        <v>763</v>
      </c>
      <c r="D71" s="171"/>
      <c r="E71" s="171"/>
      <c r="F71" s="171">
        <f t="shared" si="13"/>
        <v>114.45</v>
      </c>
      <c r="G71" s="171">
        <f t="shared" si="14"/>
        <v>877.45</v>
      </c>
      <c r="H71" s="171">
        <f t="shared" si="15"/>
        <v>2632.3500000000004</v>
      </c>
    </row>
    <row r="72" spans="1:8" s="173" customFormat="1" ht="13.8" x14ac:dyDescent="0.25">
      <c r="A72" s="210" t="s">
        <v>354</v>
      </c>
      <c r="B72" s="211">
        <v>2</v>
      </c>
      <c r="C72" s="212">
        <v>1911</v>
      </c>
      <c r="D72" s="212">
        <v>344.40000000000055</v>
      </c>
      <c r="E72" s="212">
        <v>573.29999999999995</v>
      </c>
      <c r="F72" s="212">
        <f>ROUND(SUM(C72:E72)*0.15,2)-0.01</f>
        <v>424.3</v>
      </c>
      <c r="G72" s="212">
        <f t="shared" si="14"/>
        <v>3253.0000000000009</v>
      </c>
      <c r="H72" s="171">
        <f t="shared" si="15"/>
        <v>9759.0000000000036</v>
      </c>
    </row>
    <row r="73" spans="1:8" s="173" customFormat="1" ht="13.8" x14ac:dyDescent="0.25">
      <c r="A73" s="210" t="s">
        <v>355</v>
      </c>
      <c r="B73" s="211"/>
      <c r="C73" s="212">
        <v>0</v>
      </c>
      <c r="D73" s="212">
        <v>573.29999999999995</v>
      </c>
      <c r="E73" s="212"/>
      <c r="F73" s="212">
        <f t="shared" si="13"/>
        <v>86</v>
      </c>
      <c r="G73" s="212">
        <f t="shared" si="14"/>
        <v>659.3</v>
      </c>
      <c r="H73" s="171">
        <f t="shared" si="15"/>
        <v>1977.8999999999999</v>
      </c>
    </row>
    <row r="74" spans="1:8" s="173" customFormat="1" ht="13.8" x14ac:dyDescent="0.25">
      <c r="A74" s="174" t="s">
        <v>357</v>
      </c>
      <c r="B74" s="20">
        <f t="shared" ref="B74:H74" si="16">SUM(B62:B73)</f>
        <v>13.5</v>
      </c>
      <c r="C74" s="171">
        <f t="shared" si="16"/>
        <v>17731.28</v>
      </c>
      <c r="D74" s="171">
        <f t="shared" si="16"/>
        <v>917.7000000000005</v>
      </c>
      <c r="E74" s="171">
        <f t="shared" si="16"/>
        <v>573.29999999999995</v>
      </c>
      <c r="F74" s="171">
        <f t="shared" si="16"/>
        <v>2883.3399999999997</v>
      </c>
      <c r="G74" s="171">
        <f>SUM(G62:G73)</f>
        <v>22105.62</v>
      </c>
      <c r="H74" s="171">
        <f t="shared" si="16"/>
        <v>66316.86</v>
      </c>
    </row>
    <row r="75" spans="1:8" s="25" customFormat="1" ht="13.8" x14ac:dyDescent="0.25"/>
    <row r="76" spans="1:8" s="25" customFormat="1" ht="13.8" x14ac:dyDescent="0.25"/>
    <row r="77" spans="1:8" s="25" customFormat="1" ht="15" customHeight="1" x14ac:dyDescent="0.25">
      <c r="A77" s="317" t="s">
        <v>359</v>
      </c>
      <c r="B77" s="317"/>
      <c r="C77" s="317"/>
      <c r="D77" s="317"/>
      <c r="E77" s="170"/>
      <c r="F77" s="170"/>
      <c r="G77" s="170"/>
      <c r="H77" s="170"/>
    </row>
    <row r="78" spans="1:8" s="25" customFormat="1" ht="60" x14ac:dyDescent="0.25">
      <c r="A78" s="195" t="s">
        <v>345</v>
      </c>
      <c r="B78" s="195" t="s">
        <v>346</v>
      </c>
      <c r="C78" s="195" t="s">
        <v>347</v>
      </c>
      <c r="D78" s="196" t="s">
        <v>348</v>
      </c>
      <c r="E78" s="196" t="s">
        <v>349</v>
      </c>
      <c r="F78" s="195" t="s">
        <v>350</v>
      </c>
      <c r="G78" s="195" t="s">
        <v>351</v>
      </c>
      <c r="H78" s="195" t="s">
        <v>352</v>
      </c>
    </row>
    <row r="79" spans="1:8" s="25" customFormat="1" ht="13.8" x14ac:dyDescent="0.25">
      <c r="A79" s="195">
        <v>1</v>
      </c>
      <c r="B79" s="195">
        <v>2</v>
      </c>
      <c r="C79" s="195">
        <v>3</v>
      </c>
      <c r="D79" s="195">
        <v>4</v>
      </c>
      <c r="E79" s="195">
        <v>5</v>
      </c>
      <c r="F79" s="195">
        <v>6</v>
      </c>
      <c r="G79" s="195">
        <v>7</v>
      </c>
      <c r="H79" s="195">
        <v>8</v>
      </c>
    </row>
    <row r="80" spans="1:8" s="25" customFormat="1" ht="13.8" x14ac:dyDescent="0.25">
      <c r="A80" s="207" t="s">
        <v>366</v>
      </c>
      <c r="B80" s="195">
        <v>1</v>
      </c>
      <c r="C80" s="8">
        <v>48781</v>
      </c>
      <c r="D80" s="8">
        <v>9725.3799999999992</v>
      </c>
      <c r="E80" s="8"/>
      <c r="F80" s="8">
        <f t="shared" ref="F80" si="17">ROUND(SUM(C80:E80)*0.15,2)</f>
        <v>8775.9599999999991</v>
      </c>
      <c r="G80" s="8">
        <f t="shared" ref="G80:G84" si="18">SUM(C80:F80)</f>
        <v>67282.34</v>
      </c>
      <c r="H80" s="8">
        <f t="shared" ref="H80:H84" si="19">G80*1</f>
        <v>67282.34</v>
      </c>
    </row>
    <row r="81" spans="1:8" s="25" customFormat="1" ht="13.8" x14ac:dyDescent="0.25">
      <c r="A81" s="213" t="s">
        <v>377</v>
      </c>
      <c r="B81" s="195">
        <v>2</v>
      </c>
      <c r="C81" s="8">
        <v>33138</v>
      </c>
      <c r="D81" s="8">
        <v>11742</v>
      </c>
      <c r="E81" s="8">
        <v>0</v>
      </c>
      <c r="F81" s="8">
        <v>6732</v>
      </c>
      <c r="G81" s="8">
        <f t="shared" si="18"/>
        <v>51612</v>
      </c>
      <c r="H81" s="8">
        <f t="shared" si="19"/>
        <v>51612</v>
      </c>
    </row>
    <row r="82" spans="1:8" s="25" customFormat="1" ht="13.8" x14ac:dyDescent="0.25">
      <c r="A82" s="214" t="s">
        <v>378</v>
      </c>
      <c r="B82" s="182">
        <v>3</v>
      </c>
      <c r="C82" s="152">
        <v>46758</v>
      </c>
      <c r="D82" s="152">
        <v>20562</v>
      </c>
      <c r="E82" s="152">
        <v>0</v>
      </c>
      <c r="F82" s="8">
        <v>10098</v>
      </c>
      <c r="G82" s="8">
        <f t="shared" si="18"/>
        <v>77418</v>
      </c>
      <c r="H82" s="8">
        <f t="shared" si="19"/>
        <v>77418</v>
      </c>
    </row>
    <row r="83" spans="1:8" s="25" customFormat="1" ht="13.8" x14ac:dyDescent="0.25">
      <c r="A83" s="213" t="s">
        <v>353</v>
      </c>
      <c r="B83" s="195">
        <v>4</v>
      </c>
      <c r="C83" s="8">
        <v>31172</v>
      </c>
      <c r="D83" s="8">
        <v>20104</v>
      </c>
      <c r="E83" s="8">
        <v>0</v>
      </c>
      <c r="F83" s="8">
        <v>7691.4000000000005</v>
      </c>
      <c r="G83" s="8">
        <f t="shared" si="18"/>
        <v>58967.4</v>
      </c>
      <c r="H83" s="8">
        <f t="shared" si="19"/>
        <v>58967.4</v>
      </c>
    </row>
    <row r="84" spans="1:8" s="25" customFormat="1" ht="13.8" x14ac:dyDescent="0.25">
      <c r="A84" s="213" t="s">
        <v>379</v>
      </c>
      <c r="B84" s="195">
        <v>1</v>
      </c>
      <c r="C84" s="8">
        <v>15586</v>
      </c>
      <c r="D84" s="8">
        <v>6854</v>
      </c>
      <c r="E84" s="8">
        <v>0</v>
      </c>
      <c r="F84" s="8">
        <v>6732</v>
      </c>
      <c r="G84" s="8">
        <f t="shared" si="18"/>
        <v>29172</v>
      </c>
      <c r="H84" s="8">
        <f t="shared" si="19"/>
        <v>29172</v>
      </c>
    </row>
    <row r="85" spans="1:8" s="25" customFormat="1" ht="13.8" x14ac:dyDescent="0.25">
      <c r="A85" s="7" t="s">
        <v>357</v>
      </c>
      <c r="B85" s="195">
        <f t="shared" ref="B85:H85" si="20">SUM(B80:B84)</f>
        <v>11</v>
      </c>
      <c r="C85" s="8">
        <f t="shared" si="20"/>
        <v>175435</v>
      </c>
      <c r="D85" s="8">
        <f t="shared" si="20"/>
        <v>68987.38</v>
      </c>
      <c r="E85" s="8">
        <f t="shared" si="20"/>
        <v>0</v>
      </c>
      <c r="F85" s="8">
        <f t="shared" si="20"/>
        <v>40029.360000000001</v>
      </c>
      <c r="G85" s="8">
        <f t="shared" si="20"/>
        <v>284451.74</v>
      </c>
      <c r="H85" s="8">
        <f t="shared" si="20"/>
        <v>284451.74</v>
      </c>
    </row>
    <row r="86" spans="1:8" s="25" customFormat="1" ht="13.8" x14ac:dyDescent="0.25">
      <c r="A86" s="178"/>
      <c r="B86" s="179"/>
      <c r="C86" s="180"/>
      <c r="D86" s="180"/>
      <c r="E86" s="180"/>
      <c r="F86" s="180"/>
      <c r="G86" s="180"/>
      <c r="H86" s="180"/>
    </row>
    <row r="87" spans="1:8" s="25" customFormat="1" ht="13.8" x14ac:dyDescent="0.25"/>
    <row r="88" spans="1:8" s="25" customFormat="1" ht="13.8" x14ac:dyDescent="0.25">
      <c r="A88" s="321" t="s">
        <v>360</v>
      </c>
      <c r="B88" s="322"/>
      <c r="C88" s="322"/>
      <c r="D88" s="322"/>
      <c r="E88" s="323"/>
      <c r="F88" s="195" t="s">
        <v>76</v>
      </c>
    </row>
    <row r="89" spans="1:8" s="25" customFormat="1" ht="13.8" x14ac:dyDescent="0.25">
      <c r="A89" s="321">
        <v>1</v>
      </c>
      <c r="B89" s="322"/>
      <c r="C89" s="322"/>
      <c r="D89" s="322"/>
      <c r="E89" s="323"/>
      <c r="F89" s="195">
        <v>2</v>
      </c>
    </row>
    <row r="90" spans="1:8" s="25" customFormat="1" ht="13.8" x14ac:dyDescent="0.25">
      <c r="A90" s="324" t="s">
        <v>232</v>
      </c>
      <c r="B90" s="324"/>
      <c r="C90" s="324"/>
      <c r="D90" s="324"/>
      <c r="E90" s="324"/>
      <c r="F90" s="175">
        <f>F91</f>
        <v>28153000</v>
      </c>
    </row>
    <row r="91" spans="1:8" s="25" customFormat="1" ht="13.8" x14ac:dyDescent="0.25">
      <c r="A91" s="325" t="s">
        <v>364</v>
      </c>
      <c r="B91" s="325"/>
      <c r="C91" s="325"/>
      <c r="D91" s="325"/>
      <c r="E91" s="325"/>
      <c r="F91" s="176">
        <v>28153000</v>
      </c>
    </row>
    <row r="92" spans="1:8" s="25" customFormat="1" ht="13.8" x14ac:dyDescent="0.25">
      <c r="A92" s="324" t="s">
        <v>362</v>
      </c>
      <c r="B92" s="324"/>
      <c r="C92" s="324"/>
      <c r="D92" s="324"/>
      <c r="E92" s="324"/>
      <c r="F92" s="175">
        <f>SUM(F93:F97)</f>
        <v>29151178.52</v>
      </c>
    </row>
    <row r="93" spans="1:8" s="25" customFormat="1" ht="13.8" x14ac:dyDescent="0.25">
      <c r="A93" s="325" t="s">
        <v>413</v>
      </c>
      <c r="B93" s="325"/>
      <c r="C93" s="325"/>
      <c r="D93" s="325"/>
      <c r="E93" s="325"/>
      <c r="F93" s="176">
        <f>H37</f>
        <v>28210617.360000003</v>
      </c>
    </row>
    <row r="94" spans="1:8" s="25" customFormat="1" ht="13.8" x14ac:dyDescent="0.25">
      <c r="A94" s="325" t="s">
        <v>356</v>
      </c>
      <c r="B94" s="325"/>
      <c r="C94" s="325"/>
      <c r="D94" s="325"/>
      <c r="E94" s="325"/>
      <c r="F94" s="176">
        <f>H50</f>
        <v>518058.72</v>
      </c>
    </row>
    <row r="95" spans="1:8" s="25" customFormat="1" ht="13.8" x14ac:dyDescent="0.25">
      <c r="A95" s="339" t="s">
        <v>412</v>
      </c>
      <c r="B95" s="340"/>
      <c r="C95" s="340"/>
      <c r="D95" s="340"/>
      <c r="E95" s="341"/>
      <c r="F95" s="176">
        <f>H57</f>
        <v>71733.840000000026</v>
      </c>
    </row>
    <row r="96" spans="1:8" s="25" customFormat="1" ht="13.8" x14ac:dyDescent="0.25">
      <c r="A96" s="325" t="s">
        <v>358</v>
      </c>
      <c r="B96" s="325"/>
      <c r="C96" s="325"/>
      <c r="D96" s="325"/>
      <c r="E96" s="325"/>
      <c r="F96" s="176">
        <f>H74</f>
        <v>66316.86</v>
      </c>
    </row>
    <row r="97" spans="1:6" s="25" customFormat="1" ht="13.8" x14ac:dyDescent="0.25">
      <c r="A97" s="325" t="s">
        <v>359</v>
      </c>
      <c r="B97" s="325"/>
      <c r="C97" s="325"/>
      <c r="D97" s="325"/>
      <c r="E97" s="325"/>
      <c r="F97" s="176">
        <f>H85</f>
        <v>284451.74</v>
      </c>
    </row>
    <row r="98" spans="1:6" s="25" customFormat="1" ht="13.8" x14ac:dyDescent="0.25">
      <c r="A98" s="324" t="s">
        <v>234</v>
      </c>
      <c r="B98" s="324"/>
      <c r="C98" s="324"/>
      <c r="D98" s="324"/>
      <c r="E98" s="324"/>
      <c r="F98" s="175">
        <f>F92-F90</f>
        <v>998178.51999999955</v>
      </c>
    </row>
  </sheetData>
  <mergeCells count="25">
    <mergeCell ref="A98:E98"/>
    <mergeCell ref="A95:E95"/>
    <mergeCell ref="A92:E92"/>
    <mergeCell ref="A93:E93"/>
    <mergeCell ref="A94:E94"/>
    <mergeCell ref="A96:E96"/>
    <mergeCell ref="A97:E97"/>
    <mergeCell ref="A90:E90"/>
    <mergeCell ref="A91:E91"/>
    <mergeCell ref="A39:D39"/>
    <mergeCell ref="A52:D52"/>
    <mergeCell ref="A59:D59"/>
    <mergeCell ref="A77:D77"/>
    <mergeCell ref="A88:E88"/>
    <mergeCell ref="A89:E89"/>
    <mergeCell ref="A12:D12"/>
    <mergeCell ref="E1:G1"/>
    <mergeCell ref="E2:G2"/>
    <mergeCell ref="E3:G3"/>
    <mergeCell ref="A5:F5"/>
    <mergeCell ref="A6:F6"/>
    <mergeCell ref="A7:F7"/>
    <mergeCell ref="A9:F9"/>
    <mergeCell ref="A10:F10"/>
    <mergeCell ref="A8:F8"/>
  </mergeCells>
  <pageMargins left="0.17" right="0.17" top="0.75" bottom="0.28999999999999998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24</vt:i4>
      </vt:variant>
    </vt:vector>
  </HeadingPairs>
  <TitlesOfParts>
    <vt:vector size="49" baseType="lpstr">
      <vt:lpstr>Титул</vt:lpstr>
      <vt:lpstr>Поступления и выплаты</vt:lpstr>
      <vt:lpstr>Сведения по выплатам на закупки</vt:lpstr>
      <vt:lpstr>Расчет расходов на песонал2</vt:lpstr>
      <vt:lpstr>Расчет расходов на песонал3</vt:lpstr>
      <vt:lpstr>6100125810 111</vt:lpstr>
      <vt:lpstr>6100125810 119</vt:lpstr>
      <vt:lpstr>6100125820 244 226</vt:lpstr>
      <vt:lpstr>6030625410 111</vt:lpstr>
      <vt:lpstr>6030625410 119</vt:lpstr>
      <vt:lpstr>6030625420 247 223</vt:lpstr>
      <vt:lpstr>6030625420 244 221</vt:lpstr>
      <vt:lpstr>6030625420 244 223</vt:lpstr>
      <vt:lpstr>6030625420 244 225</vt:lpstr>
      <vt:lpstr>6030625420 244 226</vt:lpstr>
      <vt:lpstr>6030625420 620 340</vt:lpstr>
      <vt:lpstr>6030625450 244 225</vt:lpstr>
      <vt:lpstr>6030625450 244 226</vt:lpstr>
      <vt:lpstr>6030625450 244 340</vt:lpstr>
      <vt:lpstr>6030625450 244 227</vt:lpstr>
      <vt:lpstr> 6030625450 621 852</vt:lpstr>
      <vt:lpstr>6030725610 244 226</vt:lpstr>
      <vt:lpstr>60307W5610 244 226</vt:lpstr>
      <vt:lpstr>Расчет транспотных услуг</vt:lpstr>
      <vt:lpstr>Расчет прочих расходов товаров</vt:lpstr>
      <vt:lpstr>'Поступления и выплаты'!_ftn1</vt:lpstr>
      <vt:lpstr>'Поступления и выплаты'!_ftn10</vt:lpstr>
      <vt:lpstr>'Поступления и выплаты'!_ftn11</vt:lpstr>
      <vt:lpstr>'Поступления и выплаты'!_ftn2</vt:lpstr>
      <vt:lpstr>'Поступления и выплаты'!_ftn3</vt:lpstr>
      <vt:lpstr>'Поступления и выплаты'!_ftn4</vt:lpstr>
      <vt:lpstr>'Поступления и выплаты'!_ftn5</vt:lpstr>
      <vt:lpstr>'Поступления и выплаты'!_ftn6</vt:lpstr>
      <vt:lpstr>'Поступления и выплаты'!_ftn7</vt:lpstr>
      <vt:lpstr>'Поступления и выплаты'!_ftn8</vt:lpstr>
      <vt:lpstr>'Поступления и выплаты'!_ftn9</vt:lpstr>
      <vt:lpstr>'Поступления и выплаты'!_ftnref1</vt:lpstr>
      <vt:lpstr>'Поступления и выплаты'!_ftnref10</vt:lpstr>
      <vt:lpstr>'Поступления и выплаты'!_ftnref11</vt:lpstr>
      <vt:lpstr>'Поступления и выплаты'!_ftnref2</vt:lpstr>
      <vt:lpstr>'Поступления и выплаты'!_ftnref3</vt:lpstr>
      <vt:lpstr>'Поступления и выплаты'!_ftnref4</vt:lpstr>
      <vt:lpstr>'Поступления и выплаты'!_ftnref5</vt:lpstr>
      <vt:lpstr>'Поступления и выплаты'!_ftnref6</vt:lpstr>
      <vt:lpstr>'Поступления и выплаты'!_ftnref7</vt:lpstr>
      <vt:lpstr>'Поступления и выплаты'!_ftnref8</vt:lpstr>
      <vt:lpstr>'Поступления и выплаты'!_ftnref9</vt:lpstr>
      <vt:lpstr>'6030625450 244 340'!Область_печати</vt:lpstr>
      <vt:lpstr>'Поступления и выплаты'!Область_печати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Жорик</cp:lastModifiedBy>
  <cp:lastPrinted>2025-04-01T08:42:02Z</cp:lastPrinted>
  <dcterms:created xsi:type="dcterms:W3CDTF">2023-12-25T10:03:40Z</dcterms:created>
  <dcterms:modified xsi:type="dcterms:W3CDTF">2025-04-01T09:10:22Z</dcterms:modified>
</cp:coreProperties>
</file>